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935" yWindow="65461" windowWidth="20610" windowHeight="9855" activeTab="3"/>
  </bookViews>
  <sheets>
    <sheet name="Introduction" sheetId="1" r:id="rId1"/>
    <sheet name="Assumptions" sheetId="2" r:id="rId2"/>
    <sheet name="Equipment List" sheetId="3" r:id="rId3"/>
    <sheet name="Cost Analysis" sheetId="4" r:id="rId4"/>
    <sheet name="Sensitivity Analysis" sheetId="5" r:id="rId5"/>
  </sheets>
  <definedNames>
    <definedName name="_xlnm.Print_Area" localSheetId="1">'Assumptions'!$A$1:$F$29</definedName>
    <definedName name="_xlnm.Print_Area" localSheetId="0">'Introduction'!$A$1:$I$39</definedName>
  </definedNames>
  <calcPr fullCalcOnLoad="1"/>
</workbook>
</file>

<file path=xl/sharedStrings.xml><?xml version="1.0" encoding="utf-8"?>
<sst xmlns="http://schemas.openxmlformats.org/spreadsheetml/2006/main" count="158" uniqueCount="119">
  <si>
    <t>There is no single recommended design for remote setting systems. Therefore, it is
impossible to supply a readymade cost spreadsheet that will be suitable for every system. The example spreadsheet is simple in design and does not contain any macroprogramming. It can be modified.  When working with the original spreadsheet or a modified version, keep in mind that it can only evaluate the economics of a properly designed system, and can not correct for flaws in design.</t>
  </si>
  <si>
    <t>It is the policy of the University of Maryland, College of Agriculture and Natural Resources, Maryland Agricultural Experiment Station, and University of Maryland Extension that all persons have equal opportunity and access to programs and facilities without regard to race, color, gender, religion, national origin, sexual orientation, age, marital or parental status, or disability.</t>
  </si>
  <si>
    <t>University of Maryland Extension programs are open to all citizens without regard to race, color, gender, religion, national origin, sexual orientation, age, marital or parental status, or disability.</t>
  </si>
  <si>
    <t>System Equipment and Materials</t>
  </si>
  <si>
    <t>Cost Analysis</t>
  </si>
  <si>
    <t>Blower Size</t>
  </si>
  <si>
    <t>Depreciation per Year</t>
  </si>
  <si>
    <t>Years of Useful Life</t>
  </si>
  <si>
    <t>Percentage of Equipment Time Devoted to Aquaculture</t>
  </si>
  <si>
    <t>Skilled Labor</t>
  </si>
  <si>
    <t>Skilled Labor Rate</t>
  </si>
  <si>
    <t>per set</t>
  </si>
  <si>
    <t>$ per set</t>
  </si>
  <si>
    <t>Cost per Unit</t>
  </si>
  <si>
    <t>A Spreadsheet For Cost Analysis</t>
  </si>
  <si>
    <t>Economics of Remote Setting in Maryland:</t>
  </si>
  <si>
    <t>Upon completion of the spreadsheet, each page may be printed out individually.</t>
  </si>
  <si>
    <t>Individuals wishing to use the spreadsheet tool should also obtain a copy of the instructions booklet. It can be downloaded from http://www.mdsg.umd.edu/programs/extension/aquaculture/oysters/remote_setting/</t>
  </si>
  <si>
    <t xml:space="preserve">It is the policy of the University of Maryland, College of Agriculture and Natural Resources, Maryland Agricultural Experiment Station, and University of Maryland Extension that all persons have equal opportunity and access to programs and facilities without regard to race, color, gender, religion, national origin, sexual orientation, age, marital or parental status, or disability.
University of Maryland Extension programs are open to all citizens without regard to race, color, gender, religion, national origin, sexual orientation, age, marital or parental status, or disability.
</t>
  </si>
  <si>
    <t xml:space="preserve">This worksheet is designed to give a general estimate of the costs of constructing and operating a remote setting system for oysters in Maryland.  Investment, operating costs and production outcomes will normally vary greatly between remote setting sites. Care should be taken to verify all information input by the user into the worksheet for your particular location.  Please note the colored tabs on the bottom of the spreadsheet.  These tabs allow you to work through the sections. </t>
  </si>
  <si>
    <t>Item</t>
  </si>
  <si>
    <t>Total Cost</t>
  </si>
  <si>
    <t>Unit</t>
  </si>
  <si>
    <t>feet</t>
  </si>
  <si>
    <t>Annual Spat on Shell Oysters Production</t>
  </si>
  <si>
    <t>Cultch Shells</t>
  </si>
  <si>
    <t>Larvae Cost</t>
  </si>
  <si>
    <t>per million</t>
  </si>
  <si>
    <t>Setting Rate</t>
  </si>
  <si>
    <t>Tank Size</t>
  </si>
  <si>
    <t>gallons</t>
  </si>
  <si>
    <t>Heater size</t>
  </si>
  <si>
    <t>watts</t>
  </si>
  <si>
    <t>Tanks Desired</t>
  </si>
  <si>
    <t>Blowers Required</t>
  </si>
  <si>
    <t>Pumps Required</t>
  </si>
  <si>
    <t>Heaters Required</t>
  </si>
  <si>
    <t xml:space="preserve">Plumbing  </t>
  </si>
  <si>
    <t>Shellwasher</t>
  </si>
  <si>
    <t>Quantity</t>
  </si>
  <si>
    <t>per foot</t>
  </si>
  <si>
    <t>bags per bushel</t>
  </si>
  <si>
    <t xml:space="preserve">Remote Setting System Assumptions:  </t>
  </si>
  <si>
    <t>Per Set</t>
  </si>
  <si>
    <t>Setting Shell</t>
  </si>
  <si>
    <t>Shell Bag Material</t>
  </si>
  <si>
    <t>Larvae</t>
  </si>
  <si>
    <t>Electric Rate</t>
  </si>
  <si>
    <t>per hour</t>
  </si>
  <si>
    <t>kwh</t>
  </si>
  <si>
    <t>Annual</t>
  </si>
  <si>
    <t>Shell Loading</t>
  </si>
  <si>
    <t>Shell Unloading</t>
  </si>
  <si>
    <t>Blower Electric</t>
  </si>
  <si>
    <t>Pump Electric</t>
  </si>
  <si>
    <t>Quanity</t>
  </si>
  <si>
    <t>million</t>
  </si>
  <si>
    <t>bushel</t>
  </si>
  <si>
    <t>$ per day</t>
  </si>
  <si>
    <t xml:space="preserve">Heater Electric </t>
  </si>
  <si>
    <t xml:space="preserve">Setting Shell Cost </t>
  </si>
  <si>
    <t>Matt Parker, Don Webster, Don Meritt, and Shannon Dill</t>
  </si>
  <si>
    <t>Maryland Sea Grant Extension publication number UM-SGEP-2011-01</t>
  </si>
  <si>
    <t>man hour per bushel</t>
  </si>
  <si>
    <t xml:space="preserve">Total Cost* </t>
  </si>
  <si>
    <t>* Does not include annual</t>
  </si>
  <si>
    <t>depreciation estimated at</t>
  </si>
  <si>
    <t>per year</t>
  </si>
  <si>
    <t>W/ Heaters</t>
  </si>
  <si>
    <t>W/O Heaters</t>
  </si>
  <si>
    <t>Total</t>
  </si>
  <si>
    <t>Number of Tanks</t>
  </si>
  <si>
    <t>Total Setting Shell needed</t>
  </si>
  <si>
    <t>bags</t>
  </si>
  <si>
    <t>Unskilled Labor Rate</t>
  </si>
  <si>
    <t xml:space="preserve">per bushel </t>
  </si>
  <si>
    <t>per month</t>
  </si>
  <si>
    <t>Cost per million Spat Produced</t>
  </si>
  <si>
    <t>Calculated Values</t>
  </si>
  <si>
    <t>System Inputs:</t>
  </si>
  <si>
    <t>Cost Inputs</t>
  </si>
  <si>
    <t>Desired Spat Density</t>
  </si>
  <si>
    <t>spat per shell</t>
  </si>
  <si>
    <t>Total Larvae Needed</t>
  </si>
  <si>
    <t>cfm @ 48" water</t>
  </si>
  <si>
    <t>Percentage of Total Cost</t>
  </si>
  <si>
    <t>Facility Rent</t>
  </si>
  <si>
    <t>$ per month</t>
  </si>
  <si>
    <t>Unskilled Labor</t>
  </si>
  <si>
    <t xml:space="preserve">man hrs </t>
  </si>
  <si>
    <t>man hrs</t>
  </si>
  <si>
    <t>Unskilled Labor:</t>
  </si>
  <si>
    <t xml:space="preserve">bushels </t>
  </si>
  <si>
    <t xml:space="preserve"> Setting Rate</t>
  </si>
  <si>
    <t>Setting Shell Cost</t>
  </si>
  <si>
    <t>cultch shell test</t>
  </si>
  <si>
    <t>setting rate test</t>
  </si>
  <si>
    <t>pump size test</t>
  </si>
  <si>
    <t>Production Inputs:</t>
  </si>
  <si>
    <t>Approximate Shell Bag Length</t>
  </si>
  <si>
    <t>Number of Spat Produced</t>
  </si>
  <si>
    <t>Bag Volume</t>
  </si>
  <si>
    <t>Sets Requiring Heater</t>
  </si>
  <si>
    <t>Blower Specs</t>
  </si>
  <si>
    <t>Pump Size</t>
  </si>
  <si>
    <t>Pump Specs</t>
  </si>
  <si>
    <t>Days Heater Runs per Set</t>
  </si>
  <si>
    <t>Days Pumps Run per Set</t>
  </si>
  <si>
    <t>Days Blower Runs per Set</t>
  </si>
  <si>
    <t>Shell Bag</t>
  </si>
  <si>
    <t>Shell Transportation and Handling Cost</t>
  </si>
  <si>
    <t>Facility/Land Rent</t>
  </si>
  <si>
    <t xml:space="preserve">Shell Cleaning and Bagging </t>
  </si>
  <si>
    <t>Capacity per Set</t>
  </si>
  <si>
    <t>Sets This Season</t>
  </si>
  <si>
    <t>Larvae per Set</t>
  </si>
  <si>
    <t>Total Cost*</t>
  </si>
  <si>
    <t>* Does not include Facility Rent or Depreciation</t>
  </si>
  <si>
    <t>Sensitivity Analysis: Effects on Total Cost of Production</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</si>
</sst>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quot;$&quot;* #,##0.0_);_(&quot;$&quot;* \(#,##0.0\);_(&quot;$&quot;* &quot;-&quot;??_);_(@_)"/>
    <numFmt numFmtId="167" formatCode="0.0%"/>
    <numFmt numFmtId="168" formatCode="0.0"/>
    <numFmt numFmtId="169" formatCode="_(&quot;$&quot;* #,##0.000_);_(&quot;$&quot;* \(#,##0.000\);_(&quot;$&quot;* &quot;-&quot;??_);_(@_)"/>
    <numFmt numFmtId="170" formatCode="_(&quot;$&quot;* #,##0.0000_);_(&quot;$&quot;* \(#,##0.0000\);_(&quot;$&quot;* &quot;-&quot;??_);_(@_)"/>
    <numFmt numFmtId="171" formatCode="_(\$* #,##0.00_);_(\$* \(#,##0.00\);_(\$* &quot;-&quot;??_);_(@_)"/>
    <numFmt numFmtId="172" formatCode="0.00000000000000%"/>
    <numFmt numFmtId="173" formatCode="&quot;Yes&quot;;&quot;Yes&quot;;&quot;No&quot;"/>
    <numFmt numFmtId="174" formatCode="&quot;True&quot;;&quot;True&quot;;&quot;False&quot;"/>
    <numFmt numFmtId="175" formatCode="&quot;On&quot;;&quot;On&quot;;&quot;Off&quot;"/>
    <numFmt numFmtId="176" formatCode="[$€-2]\ #,##0.00_);[Red]\([$€-2]\ #,##0.00\)"/>
  </numFmts>
  <fonts count="35">
    <font>
      <sz val="11"/>
      <color theme="1"/>
      <name val="Calibri"/>
      <family val="2"/>
    </font>
    <font>
      <sz val="11"/>
      <color indexed="8"/>
      <name val="Calibri"/>
      <family val="2"/>
    </font>
    <font>
      <sz val="11"/>
      <color indexed="9"/>
      <name val="Calibri"/>
      <family val="2"/>
    </font>
    <font>
      <b/>
      <sz val="11"/>
      <color indexed="8"/>
      <name val="Calibri"/>
      <family val="2"/>
    </font>
    <font>
      <b/>
      <sz val="11"/>
      <color indexed="10"/>
      <name val="Calibri"/>
      <family val="2"/>
    </font>
    <font>
      <sz val="26"/>
      <color indexed="8"/>
      <name val="Calibri"/>
      <family val="2"/>
    </font>
    <font>
      <sz val="24"/>
      <color indexed="8"/>
      <name val="Calibri"/>
      <family val="2"/>
    </font>
    <font>
      <sz val="10"/>
      <color indexed="8"/>
      <name val="Calibri"/>
      <family val="2"/>
    </font>
    <font>
      <u val="single"/>
      <sz val="11"/>
      <color indexed="12"/>
      <name val="Calibri"/>
      <family val="2"/>
    </font>
    <font>
      <u val="single"/>
      <sz val="11"/>
      <color indexed="20"/>
      <name val="Calibri"/>
      <family val="2"/>
    </font>
    <font>
      <sz val="8"/>
      <name val="Verdana"/>
      <family val="0"/>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color indexed="9"/>
      <name val="Calibri"/>
      <family val="2"/>
    </font>
    <font>
      <sz val="11"/>
      <color theme="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thin"/>
    </border>
    <border>
      <left style="thin"/>
      <right style="thin"/>
      <top/>
      <bottom/>
    </border>
    <border>
      <left style="thin"/>
      <right style="thin"/>
      <top>
        <color indexed="63"/>
      </top>
      <bottom style="thin"/>
    </border>
    <border>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right style="medium"/>
      <top/>
      <bottom style="thin"/>
    </border>
    <border>
      <left>
        <color indexed="63"/>
      </left>
      <right style="medium"/>
      <top>
        <color indexed="63"/>
      </top>
      <bottom>
        <color indexed="63"/>
      </bottom>
    </border>
    <border>
      <left/>
      <right style="medium"/>
      <top style="thin"/>
      <bottom style="thin"/>
    </border>
    <border>
      <left/>
      <right style="thin"/>
      <top/>
      <bottom style="medium"/>
    </border>
    <border>
      <left>
        <color indexed="63"/>
      </left>
      <right>
        <color indexed="63"/>
      </right>
      <top>
        <color indexed="63"/>
      </top>
      <bottom style="medium"/>
    </border>
    <border>
      <left style="thin"/>
      <right style="thin"/>
      <top/>
      <bottom style="medium"/>
    </border>
    <border>
      <left>
        <color indexed="63"/>
      </left>
      <right style="medium"/>
      <top>
        <color indexed="63"/>
      </top>
      <bottom style="medium"/>
    </border>
    <border>
      <left style="thin"/>
      <right style="thin"/>
      <top style="thin"/>
      <bottom style="medium"/>
    </border>
    <border>
      <left style="thin"/>
      <right/>
      <top style="thin"/>
      <bottom style="thin"/>
    </border>
    <border>
      <left>
        <color indexed="63"/>
      </left>
      <right style="medium"/>
      <top style="medium"/>
      <bottom>
        <color indexed="63"/>
      </bottom>
    </border>
    <border>
      <left style="medium"/>
      <right>
        <color indexed="63"/>
      </right>
      <top>
        <color indexed="63"/>
      </top>
      <bottom style="medium"/>
    </border>
  </borders>
  <cellStyleXfs count="6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0"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5"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11" fillId="23" borderId="0" applyNumberFormat="0" applyBorder="0" applyAlignment="0" applyProtection="0"/>
    <xf numFmtId="0" fontId="26" fillId="24"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7" fillId="0" borderId="0" applyNumberFormat="0" applyFill="0" applyBorder="0" applyAlignment="0" applyProtection="0"/>
    <xf numFmtId="0" fontId="9" fillId="0" borderId="0" applyNumberFormat="0" applyFill="0" applyBorder="0" applyAlignment="0" applyProtection="0"/>
    <xf numFmtId="0" fontId="28" fillId="25" borderId="0" applyNumberFormat="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8" fillId="0" borderId="0" applyNumberFormat="0" applyFill="0" applyBorder="0" applyAlignment="0" applyProtection="0"/>
    <xf numFmtId="0" fontId="29" fillId="26" borderId="1" applyNumberFormat="0" applyAlignment="0" applyProtection="0"/>
    <xf numFmtId="0" fontId="30" fillId="0" borderId="5" applyNumberFormat="0" applyFill="0" applyAlignment="0" applyProtection="0"/>
    <xf numFmtId="0" fontId="31" fillId="27" borderId="0" applyNumberFormat="0" applyBorder="0" applyAlignment="0" applyProtection="0"/>
    <xf numFmtId="0" fontId="1" fillId="28" borderId="6" applyNumberFormat="0" applyFont="0" applyAlignment="0" applyProtection="0"/>
    <xf numFmtId="0" fontId="32" fillId="24" borderId="7" applyNumberFormat="0" applyAlignment="0" applyProtection="0"/>
    <xf numFmtId="9" fontId="1" fillId="0" borderId="0" applyFont="0" applyFill="0" applyBorder="0" applyAlignment="0" applyProtection="0"/>
    <xf numFmtId="0" fontId="22" fillId="0" borderId="0" applyNumberFormat="0" applyFill="0" applyBorder="0" applyAlignment="0" applyProtection="0"/>
    <xf numFmtId="0" fontId="33" fillId="0" borderId="8" applyNumberFormat="0" applyFill="0" applyAlignment="0" applyProtection="0"/>
    <xf numFmtId="0" fontId="34" fillId="0" borderId="0" applyNumberFormat="0" applyFill="0" applyBorder="0" applyAlignment="0" applyProtection="0"/>
  </cellStyleXfs>
  <cellXfs count="102">
    <xf numFmtId="0" fontId="0" fillId="0" borderId="0" xfId="0" applyFont="1" applyAlignment="1">
      <alignment/>
    </xf>
    <xf numFmtId="0" fontId="0" fillId="0" borderId="0" xfId="0" applyFill="1" applyAlignment="1">
      <alignment/>
    </xf>
    <xf numFmtId="44" fontId="1" fillId="0" borderId="0" xfId="43" applyFont="1" applyAlignment="1">
      <alignment/>
    </xf>
    <xf numFmtId="44" fontId="0" fillId="0" borderId="0" xfId="0" applyNumberFormat="1" applyAlignment="1">
      <alignment/>
    </xf>
    <xf numFmtId="0" fontId="0" fillId="0" borderId="0" xfId="0" applyAlignment="1">
      <alignment wrapText="1"/>
    </xf>
    <xf numFmtId="3" fontId="0" fillId="0" borderId="0" xfId="0" applyNumberFormat="1" applyAlignment="1">
      <alignment/>
    </xf>
    <xf numFmtId="3" fontId="1" fillId="0" borderId="0" xfId="58" applyNumberFormat="1" applyFont="1" applyFill="1" applyAlignment="1">
      <alignment/>
    </xf>
    <xf numFmtId="0" fontId="0" fillId="0" borderId="0" xfId="0" applyBorder="1" applyAlignment="1">
      <alignment horizontal="center" wrapText="1"/>
    </xf>
    <xf numFmtId="0" fontId="0" fillId="0" borderId="9" xfId="0" applyBorder="1" applyAlignment="1">
      <alignment/>
    </xf>
    <xf numFmtId="0" fontId="0" fillId="0" borderId="0" xfId="0" applyBorder="1" applyAlignment="1">
      <alignment/>
    </xf>
    <xf numFmtId="0" fontId="0" fillId="0" borderId="10" xfId="0" applyBorder="1" applyAlignment="1">
      <alignment/>
    </xf>
    <xf numFmtId="44" fontId="1" fillId="0" borderId="0" xfId="43" applyFont="1" applyBorder="1" applyAlignment="1">
      <alignment/>
    </xf>
    <xf numFmtId="44" fontId="0" fillId="0" borderId="0" xfId="0" applyNumberFormat="1" applyBorder="1" applyAlignment="1">
      <alignment/>
    </xf>
    <xf numFmtId="44"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44" fontId="1" fillId="0" borderId="10" xfId="43" applyFont="1" applyBorder="1" applyAlignment="1">
      <alignment/>
    </xf>
    <xf numFmtId="0" fontId="0" fillId="0" borderId="9" xfId="0" applyBorder="1" applyAlignment="1">
      <alignment horizontal="right"/>
    </xf>
    <xf numFmtId="0" fontId="0" fillId="0" borderId="11" xfId="0" applyBorder="1" applyAlignment="1">
      <alignment horizontal="right"/>
    </xf>
    <xf numFmtId="44" fontId="0" fillId="0" borderId="12" xfId="0" applyNumberFormat="1" applyBorder="1" applyAlignment="1">
      <alignment/>
    </xf>
    <xf numFmtId="44" fontId="1" fillId="0" borderId="13" xfId="43" applyFont="1" applyBorder="1" applyAlignment="1">
      <alignment/>
    </xf>
    <xf numFmtId="0" fontId="0" fillId="0" borderId="0" xfId="0" applyBorder="1" applyAlignment="1">
      <alignment wrapText="1"/>
    </xf>
    <xf numFmtId="0" fontId="0" fillId="0" borderId="14" xfId="0" applyBorder="1" applyAlignment="1">
      <alignment wrapText="1"/>
    </xf>
    <xf numFmtId="0" fontId="0" fillId="0" borderId="14" xfId="0" applyBorder="1" applyAlignment="1">
      <alignment/>
    </xf>
    <xf numFmtId="44" fontId="1" fillId="0" borderId="14" xfId="43" applyFont="1" applyBorder="1" applyAlignment="1">
      <alignment/>
    </xf>
    <xf numFmtId="44" fontId="3" fillId="0" borderId="0" xfId="43" applyFont="1" applyAlignment="1">
      <alignment/>
    </xf>
    <xf numFmtId="0" fontId="3" fillId="0" borderId="0" xfId="0" applyFont="1" applyAlignment="1">
      <alignment/>
    </xf>
    <xf numFmtId="37" fontId="0" fillId="0" borderId="14" xfId="0" applyNumberFormat="1" applyFill="1" applyBorder="1" applyAlignment="1">
      <alignment horizontal="right"/>
    </xf>
    <xf numFmtId="0" fontId="0" fillId="0" borderId="9" xfId="0" applyBorder="1" applyAlignment="1">
      <alignment/>
    </xf>
    <xf numFmtId="0" fontId="0" fillId="0" borderId="0" xfId="0" applyBorder="1" applyAlignment="1">
      <alignment/>
    </xf>
    <xf numFmtId="0" fontId="0" fillId="0" borderId="0" xfId="0" applyFill="1" applyBorder="1" applyAlignment="1">
      <alignment/>
    </xf>
    <xf numFmtId="4" fontId="0" fillId="0" borderId="0" xfId="0" applyNumberFormat="1" applyAlignment="1">
      <alignment/>
    </xf>
    <xf numFmtId="3" fontId="0" fillId="0" borderId="0" xfId="0" applyNumberFormat="1" applyFill="1" applyBorder="1" applyAlignment="1">
      <alignment/>
    </xf>
    <xf numFmtId="0" fontId="0" fillId="0" borderId="0" xfId="0" applyAlignment="1">
      <alignment/>
    </xf>
    <xf numFmtId="9" fontId="1" fillId="0" borderId="0" xfId="58" applyFont="1" applyBorder="1" applyAlignment="1">
      <alignment/>
    </xf>
    <xf numFmtId="3" fontId="0" fillId="0" borderId="0" xfId="0" applyNumberFormat="1" applyFill="1" applyAlignment="1">
      <alignment/>
    </xf>
    <xf numFmtId="10" fontId="0" fillId="0" borderId="0" xfId="0" applyNumberFormat="1" applyAlignment="1">
      <alignment/>
    </xf>
    <xf numFmtId="164" fontId="1" fillId="0" borderId="0" xfId="43" applyNumberFormat="1" applyFont="1" applyAlignment="1">
      <alignment/>
    </xf>
    <xf numFmtId="0" fontId="3" fillId="0" borderId="0" xfId="0" applyFont="1" applyFill="1" applyBorder="1" applyAlignment="1">
      <alignment/>
    </xf>
    <xf numFmtId="0" fontId="4" fillId="0" borderId="0" xfId="0" applyFont="1" applyAlignment="1">
      <alignment/>
    </xf>
    <xf numFmtId="164" fontId="1" fillId="0" borderId="0" xfId="43" applyNumberFormat="1" applyFont="1" applyFill="1" applyAlignment="1">
      <alignment/>
    </xf>
    <xf numFmtId="164" fontId="1" fillId="0" borderId="15" xfId="43" applyNumberFormat="1" applyFont="1" applyBorder="1" applyAlignment="1">
      <alignment/>
    </xf>
    <xf numFmtId="164" fontId="1" fillId="0" borderId="16" xfId="43" applyNumberFormat="1" applyFont="1" applyBorder="1" applyAlignment="1">
      <alignment/>
    </xf>
    <xf numFmtId="164" fontId="1" fillId="29" borderId="14" xfId="43" applyNumberFormat="1" applyFont="1" applyFill="1" applyBorder="1" applyAlignment="1">
      <alignment/>
    </xf>
    <xf numFmtId="0" fontId="0" fillId="0" borderId="0" xfId="0" applyFill="1" applyBorder="1" applyAlignment="1">
      <alignment/>
    </xf>
    <xf numFmtId="167" fontId="0" fillId="0" borderId="12" xfId="0" applyNumberFormat="1" applyBorder="1" applyAlignment="1">
      <alignment/>
    </xf>
    <xf numFmtId="9" fontId="0" fillId="0" borderId="17" xfId="0" applyNumberFormat="1" applyBorder="1" applyAlignment="1">
      <alignment/>
    </xf>
    <xf numFmtId="10" fontId="0" fillId="0" borderId="12" xfId="0" applyNumberFormat="1" applyBorder="1" applyAlignment="1">
      <alignment/>
    </xf>
    <xf numFmtId="44" fontId="0" fillId="0" borderId="18" xfId="0" applyNumberFormat="1"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10" fontId="0" fillId="0" borderId="22" xfId="0" applyNumberFormat="1" applyBorder="1" applyAlignment="1">
      <alignment/>
    </xf>
    <xf numFmtId="164" fontId="1" fillId="0" borderId="0" xfId="43" applyNumberFormat="1" applyFont="1" applyBorder="1" applyAlignment="1">
      <alignment/>
    </xf>
    <xf numFmtId="164" fontId="1" fillId="0" borderId="23" xfId="43" applyNumberFormat="1" applyFont="1" applyBorder="1" applyAlignment="1">
      <alignment/>
    </xf>
    <xf numFmtId="164" fontId="1" fillId="0" borderId="24" xfId="43" applyNumberFormat="1" applyFont="1" applyBorder="1" applyAlignment="1">
      <alignment/>
    </xf>
    <xf numFmtId="44" fontId="0" fillId="0" borderId="25" xfId="0" applyNumberFormat="1" applyBorder="1" applyAlignment="1">
      <alignment/>
    </xf>
    <xf numFmtId="164" fontId="1" fillId="0" borderId="26" xfId="43" applyNumberFormat="1" applyFont="1" applyBorder="1" applyAlignment="1">
      <alignment/>
    </xf>
    <xf numFmtId="164" fontId="1" fillId="0" borderId="27" xfId="43" applyNumberFormat="1" applyFont="1" applyBorder="1" applyAlignment="1">
      <alignment/>
    </xf>
    <xf numFmtId="164" fontId="1" fillId="0" borderId="28" xfId="43" applyNumberFormat="1" applyFont="1" applyBorder="1" applyAlignment="1">
      <alignment/>
    </xf>
    <xf numFmtId="0" fontId="0" fillId="0" borderId="14" xfId="0" applyBorder="1" applyAlignment="1">
      <alignment horizontal="center" wrapText="1"/>
    </xf>
    <xf numFmtId="0" fontId="0" fillId="0" borderId="14" xfId="0" applyFill="1" applyBorder="1" applyAlignment="1">
      <alignment/>
    </xf>
    <xf numFmtId="0" fontId="0" fillId="30" borderId="14" xfId="0" applyFill="1" applyBorder="1" applyAlignment="1">
      <alignment/>
    </xf>
    <xf numFmtId="44" fontId="1" fillId="30" borderId="14" xfId="43" applyFont="1" applyFill="1" applyBorder="1" applyAlignment="1">
      <alignment/>
    </xf>
    <xf numFmtId="9" fontId="1" fillId="30" borderId="14" xfId="58" applyFont="1" applyFill="1" applyBorder="1" applyAlignment="1">
      <alignment/>
    </xf>
    <xf numFmtId="0" fontId="0" fillId="0" borderId="14" xfId="0" applyBorder="1" applyAlignment="1">
      <alignment horizontal="left" wrapText="1"/>
    </xf>
    <xf numFmtId="44" fontId="1" fillId="0" borderId="14" xfId="43" applyFont="1" applyBorder="1" applyAlignment="1">
      <alignment horizontal="center" wrapText="1"/>
    </xf>
    <xf numFmtId="0" fontId="0" fillId="0" borderId="14" xfId="0" applyBorder="1" applyAlignment="1">
      <alignment horizontal="right" wrapText="1"/>
    </xf>
    <xf numFmtId="44" fontId="0" fillId="0" borderId="14" xfId="0" applyNumberFormat="1" applyBorder="1" applyAlignment="1">
      <alignment/>
    </xf>
    <xf numFmtId="3" fontId="0" fillId="0" borderId="14" xfId="0" applyNumberFormat="1" applyBorder="1" applyAlignment="1">
      <alignment/>
    </xf>
    <xf numFmtId="3" fontId="0" fillId="30" borderId="14" xfId="0" applyNumberFormat="1" applyFill="1" applyBorder="1" applyAlignment="1">
      <alignment/>
    </xf>
    <xf numFmtId="0" fontId="0" fillId="30" borderId="29" xfId="0" applyFill="1" applyBorder="1" applyAlignment="1">
      <alignment/>
    </xf>
    <xf numFmtId="44" fontId="1" fillId="0" borderId="29" xfId="43" applyFont="1" applyBorder="1" applyAlignment="1">
      <alignment/>
    </xf>
    <xf numFmtId="44" fontId="0" fillId="0" borderId="29" xfId="0" applyNumberFormat="1" applyBorder="1" applyAlignment="1">
      <alignment/>
    </xf>
    <xf numFmtId="4" fontId="0" fillId="30" borderId="14" xfId="0" applyNumberFormat="1" applyFill="1" applyBorder="1" applyAlignment="1">
      <alignment/>
    </xf>
    <xf numFmtId="3" fontId="1" fillId="30" borderId="14" xfId="58" applyNumberFormat="1" applyFont="1" applyFill="1" applyBorder="1" applyAlignment="1">
      <alignment/>
    </xf>
    <xf numFmtId="1" fontId="0" fillId="30" borderId="14" xfId="0" applyNumberFormat="1" applyFill="1" applyBorder="1" applyAlignment="1">
      <alignment/>
    </xf>
    <xf numFmtId="37" fontId="1" fillId="30" borderId="14" xfId="43" applyNumberFormat="1" applyFont="1" applyFill="1" applyBorder="1" applyAlignment="1">
      <alignment horizontal="right"/>
    </xf>
    <xf numFmtId="164" fontId="1" fillId="30" borderId="14" xfId="43" applyNumberFormat="1" applyFont="1" applyFill="1" applyBorder="1" applyAlignment="1">
      <alignment/>
    </xf>
    <xf numFmtId="39" fontId="1" fillId="30" borderId="14" xfId="43" applyNumberFormat="1" applyFont="1" applyFill="1" applyBorder="1" applyAlignment="1">
      <alignment/>
    </xf>
    <xf numFmtId="0" fontId="0" fillId="0" borderId="0" xfId="0" applyAlignment="1">
      <alignment horizontal="left"/>
    </xf>
    <xf numFmtId="0" fontId="0" fillId="0" borderId="0" xfId="0" applyFont="1" applyAlignment="1">
      <alignment/>
    </xf>
    <xf numFmtId="0" fontId="0" fillId="0" borderId="0" xfId="0" applyFont="1" applyAlignment="1">
      <alignment/>
    </xf>
    <xf numFmtId="0" fontId="7" fillId="0" borderId="0" xfId="0" applyFont="1" applyAlignment="1">
      <alignment/>
    </xf>
    <xf numFmtId="0" fontId="2" fillId="31" borderId="0" xfId="0" applyFont="1" applyFill="1" applyAlignment="1">
      <alignment/>
    </xf>
    <xf numFmtId="0" fontId="2" fillId="31" borderId="0" xfId="0" applyFont="1" applyFill="1" applyAlignment="1">
      <alignment/>
    </xf>
    <xf numFmtId="1" fontId="0" fillId="0" borderId="0" xfId="0" applyNumberFormat="1" applyAlignment="1">
      <alignment/>
    </xf>
    <xf numFmtId="0" fontId="7" fillId="0" borderId="0" xfId="0" applyFont="1" applyAlignment="1">
      <alignment horizontal="center" wrapText="1"/>
    </xf>
    <xf numFmtId="0" fontId="7" fillId="0" borderId="0" xfId="0" applyFont="1" applyAlignment="1">
      <alignment horizontal="center"/>
    </xf>
    <xf numFmtId="0" fontId="0" fillId="0" borderId="0" xfId="0" applyAlignment="1">
      <alignment horizontal="left" wrapText="1"/>
    </xf>
    <xf numFmtId="0" fontId="5" fillId="0" borderId="0" xfId="0" applyFont="1" applyAlignment="1">
      <alignment horizontal="center" wrapText="1"/>
    </xf>
    <xf numFmtId="0" fontId="6" fillId="0" borderId="0" xfId="0" applyFont="1" applyAlignment="1">
      <alignment horizontal="center" wrapText="1"/>
    </xf>
    <xf numFmtId="0" fontId="0" fillId="0" borderId="0" xfId="0" applyAlignment="1">
      <alignment horizontal="center"/>
    </xf>
    <xf numFmtId="0" fontId="7" fillId="0" borderId="0" xfId="0" applyFont="1" applyAlignment="1">
      <alignment horizontal="left" wrapText="1"/>
    </xf>
    <xf numFmtId="0" fontId="3" fillId="32" borderId="30" xfId="0" applyFont="1" applyFill="1" applyBorder="1" applyAlignment="1">
      <alignment horizontal="center"/>
    </xf>
    <xf numFmtId="0" fontId="3" fillId="32" borderId="15" xfId="0" applyFont="1" applyFill="1" applyBorder="1" applyAlignment="1">
      <alignment horizontal="center"/>
    </xf>
    <xf numFmtId="0" fontId="3" fillId="32" borderId="18" xfId="0" applyFont="1" applyFill="1" applyBorder="1" applyAlignment="1">
      <alignment horizontal="center"/>
    </xf>
    <xf numFmtId="0" fontId="0" fillId="0" borderId="20" xfId="0" applyBorder="1" applyAlignment="1">
      <alignment horizontal="center"/>
    </xf>
    <xf numFmtId="0" fontId="0" fillId="0" borderId="31" xfId="0" applyBorder="1" applyAlignment="1">
      <alignment horizontal="center"/>
    </xf>
    <xf numFmtId="0" fontId="0" fillId="0" borderId="21" xfId="0" applyBorder="1" applyAlignment="1">
      <alignment horizontal="center" vertical="center" textRotation="90"/>
    </xf>
    <xf numFmtId="0" fontId="0" fillId="0" borderId="32" xfId="0" applyBorder="1" applyAlignment="1">
      <alignment horizontal="center" vertical="center" textRotation="9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457200</xdr:colOff>
      <xdr:row>24</xdr:row>
      <xdr:rowOff>152400</xdr:rowOff>
    </xdr:from>
    <xdr:to>
      <xdr:col>5</xdr:col>
      <xdr:colOff>533400</xdr:colOff>
      <xdr:row>29</xdr:row>
      <xdr:rowOff>123825</xdr:rowOff>
    </xdr:to>
    <xdr:pic>
      <xdr:nvPicPr>
        <xdr:cNvPr id="1" name="Picture 3"/>
        <xdr:cNvPicPr preferRelativeResize="1">
          <a:picLocks noChangeAspect="1"/>
        </xdr:cNvPicPr>
      </xdr:nvPicPr>
      <xdr:blipFill>
        <a:blip r:embed="rId1"/>
        <a:stretch>
          <a:fillRect/>
        </a:stretch>
      </xdr:blipFill>
      <xdr:spPr>
        <a:xfrm>
          <a:off x="1638300" y="8277225"/>
          <a:ext cx="1847850" cy="9239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I39"/>
  <sheetViews>
    <sheetView zoomScalePageLayoutView="0" workbookViewId="0" topLeftCell="A3">
      <selection activeCell="A11" sqref="A11:I13"/>
    </sheetView>
  </sheetViews>
  <sheetFormatPr defaultColWidth="8.8515625" defaultRowHeight="15"/>
  <cols>
    <col min="1" max="8" width="8.8515625" style="0" customWidth="1"/>
    <col min="9" max="9" width="12.00390625" style="0" customWidth="1"/>
  </cols>
  <sheetData>
    <row r="1" spans="1:9" ht="83.25" customHeight="1">
      <c r="A1" s="91" t="s">
        <v>15</v>
      </c>
      <c r="B1" s="91"/>
      <c r="C1" s="91"/>
      <c r="D1" s="91"/>
      <c r="E1" s="91"/>
      <c r="F1" s="91"/>
      <c r="G1" s="91"/>
      <c r="H1" s="91"/>
      <c r="I1" s="91"/>
    </row>
    <row r="2" spans="1:9" ht="31.5">
      <c r="A2" s="92" t="s">
        <v>14</v>
      </c>
      <c r="B2" s="92"/>
      <c r="C2" s="92"/>
      <c r="D2" s="92"/>
      <c r="E2" s="92"/>
      <c r="F2" s="92"/>
      <c r="G2" s="92"/>
      <c r="H2" s="92"/>
      <c r="I2" s="92"/>
    </row>
    <row r="3" spans="1:9" ht="18" customHeight="1">
      <c r="A3" s="93" t="s">
        <v>61</v>
      </c>
      <c r="B3" s="93"/>
      <c r="C3" s="93"/>
      <c r="D3" s="93"/>
      <c r="E3" s="93"/>
      <c r="F3" s="93"/>
      <c r="G3" s="93"/>
      <c r="H3" s="93"/>
      <c r="I3" s="93"/>
    </row>
    <row r="4" spans="1:9" ht="21" customHeight="1">
      <c r="A4" s="93" t="s">
        <v>62</v>
      </c>
      <c r="B4" s="93"/>
      <c r="C4" s="93"/>
      <c r="D4" s="93"/>
      <c r="E4" s="93"/>
      <c r="F4" s="93"/>
      <c r="G4" s="93"/>
      <c r="H4" s="93"/>
      <c r="I4" s="93"/>
    </row>
    <row r="5" spans="1:9" ht="93.75" customHeight="1">
      <c r="A5" s="90" t="s">
        <v>19</v>
      </c>
      <c r="B5" s="90"/>
      <c r="C5" s="90"/>
      <c r="D5" s="90"/>
      <c r="E5" s="90"/>
      <c r="F5" s="90"/>
      <c r="G5" s="90"/>
      <c r="H5" s="90"/>
      <c r="I5" s="90"/>
    </row>
    <row r="7" spans="1:9" ht="43.5" customHeight="1">
      <c r="A7" s="90" t="s">
        <v>17</v>
      </c>
      <c r="B7" s="90"/>
      <c r="C7" s="90"/>
      <c r="D7" s="90"/>
      <c r="E7" s="90"/>
      <c r="F7" s="90"/>
      <c r="G7" s="90"/>
      <c r="H7" s="90"/>
      <c r="I7" s="90"/>
    </row>
    <row r="9" spans="1:6" ht="15">
      <c r="A9" t="s">
        <v>16</v>
      </c>
      <c r="F9" s="81"/>
    </row>
    <row r="11" spans="1:9" ht="93.75" customHeight="1">
      <c r="A11" s="90" t="s">
        <v>0</v>
      </c>
      <c r="B11" s="90"/>
      <c r="C11" s="90"/>
      <c r="D11" s="90"/>
      <c r="E11" s="90"/>
      <c r="F11" s="90"/>
      <c r="G11" s="90"/>
      <c r="H11" s="90"/>
      <c r="I11" s="90"/>
    </row>
    <row r="31" spans="1:9" ht="15">
      <c r="A31" s="88" t="s">
        <v>18</v>
      </c>
      <c r="B31" s="89"/>
      <c r="C31" s="89"/>
      <c r="D31" s="89"/>
      <c r="E31" s="89"/>
      <c r="F31" s="89"/>
      <c r="G31" s="89"/>
      <c r="H31" s="89"/>
      <c r="I31" s="89"/>
    </row>
    <row r="32" spans="1:9" ht="15">
      <c r="A32" s="89"/>
      <c r="B32" s="89"/>
      <c r="C32" s="89"/>
      <c r="D32" s="89"/>
      <c r="E32" s="89"/>
      <c r="F32" s="89"/>
      <c r="G32" s="89"/>
      <c r="H32" s="89"/>
      <c r="I32" s="89"/>
    </row>
    <row r="33" spans="1:9" ht="15">
      <c r="A33" s="89"/>
      <c r="B33" s="89"/>
      <c r="C33" s="89"/>
      <c r="D33" s="89"/>
      <c r="E33" s="89"/>
      <c r="F33" s="89"/>
      <c r="G33" s="89"/>
      <c r="H33" s="89"/>
      <c r="I33" s="89"/>
    </row>
    <row r="34" spans="1:9" ht="15" customHeight="1" hidden="1">
      <c r="A34" s="89"/>
      <c r="B34" s="89"/>
      <c r="C34" s="89"/>
      <c r="D34" s="89"/>
      <c r="E34" s="89"/>
      <c r="F34" s="89"/>
      <c r="G34" s="89"/>
      <c r="H34" s="89"/>
      <c r="I34" s="89"/>
    </row>
    <row r="35" spans="1:9" ht="14.25" customHeight="1">
      <c r="A35" s="89"/>
      <c r="B35" s="89"/>
      <c r="C35" s="89"/>
      <c r="D35" s="89"/>
      <c r="E35" s="89"/>
      <c r="F35" s="89"/>
      <c r="G35" s="89"/>
      <c r="H35" s="89"/>
      <c r="I35" s="89"/>
    </row>
    <row r="36" spans="1:9" ht="15" customHeight="1">
      <c r="A36" s="89"/>
      <c r="B36" s="89"/>
      <c r="C36" s="89"/>
      <c r="D36" s="89"/>
      <c r="E36" s="89"/>
      <c r="F36" s="89"/>
      <c r="G36" s="89"/>
      <c r="H36" s="89"/>
      <c r="I36" s="89"/>
    </row>
    <row r="37" spans="1:9" ht="15">
      <c r="A37" s="89"/>
      <c r="B37" s="89"/>
      <c r="C37" s="89"/>
      <c r="D37" s="89"/>
      <c r="E37" s="89"/>
      <c r="F37" s="89"/>
      <c r="G37" s="89"/>
      <c r="H37" s="89"/>
      <c r="I37" s="89"/>
    </row>
    <row r="38" spans="1:9" ht="15">
      <c r="A38" s="89"/>
      <c r="B38" s="89"/>
      <c r="C38" s="89"/>
      <c r="D38" s="89"/>
      <c r="E38" s="89"/>
      <c r="F38" s="89"/>
      <c r="G38" s="89"/>
      <c r="H38" s="89"/>
      <c r="I38" s="89"/>
    </row>
    <row r="39" spans="1:9" ht="15">
      <c r="A39" s="89"/>
      <c r="B39" s="89"/>
      <c r="C39" s="89"/>
      <c r="D39" s="89"/>
      <c r="E39" s="89"/>
      <c r="F39" s="89"/>
      <c r="G39" s="89"/>
      <c r="H39" s="89"/>
      <c r="I39" s="89"/>
    </row>
  </sheetData>
  <sheetProtection/>
  <mergeCells count="8">
    <mergeCell ref="A31:I39"/>
    <mergeCell ref="A11:I11"/>
    <mergeCell ref="A1:I1"/>
    <mergeCell ref="A2:I2"/>
    <mergeCell ref="A3:I3"/>
    <mergeCell ref="A5:I5"/>
    <mergeCell ref="A7:I7"/>
    <mergeCell ref="A4:I4"/>
  </mergeCells>
  <printOptions horizontalCentered="1" verticalCentered="1"/>
  <pageMargins left="0.7" right="0.7" top="0.75" bottom="0.75" header="0.3" footer="0.3"/>
  <pageSetup fitToHeight="1" fitToWidth="1" horizontalDpi="600" verticalDpi="600" orientation="portrait" scale="85"/>
  <drawing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J50"/>
  <sheetViews>
    <sheetView zoomScalePageLayoutView="0" workbookViewId="0" topLeftCell="A1">
      <selection activeCell="E23" sqref="E23"/>
    </sheetView>
  </sheetViews>
  <sheetFormatPr defaultColWidth="8.8515625" defaultRowHeight="15"/>
  <cols>
    <col min="1" max="1" width="37.28125" style="0" bestFit="1" customWidth="1"/>
    <col min="2" max="2" width="15.140625" style="0" bestFit="1" customWidth="1"/>
    <col min="3" max="3" width="15.421875" style="34" bestFit="1" customWidth="1"/>
    <col min="4" max="4" width="36.00390625" style="34" bestFit="1" customWidth="1"/>
    <col min="5" max="5" width="10.140625" style="34" bestFit="1" customWidth="1"/>
    <col min="6" max="6" width="19.421875" style="0" bestFit="1" customWidth="1"/>
    <col min="7" max="7" width="20.7109375" style="0" customWidth="1"/>
    <col min="8" max="8" width="8.8515625" style="0" customWidth="1"/>
    <col min="9" max="9" width="12.28125" style="0" customWidth="1"/>
    <col min="10" max="10" width="39.140625" style="0" customWidth="1"/>
  </cols>
  <sheetData>
    <row r="1" ht="15">
      <c r="A1" t="s">
        <v>42</v>
      </c>
    </row>
    <row r="2" ht="15">
      <c r="A2" t="s">
        <v>24</v>
      </c>
    </row>
    <row r="3" ht="15">
      <c r="A3" s="27"/>
    </row>
    <row r="4" spans="1:6" ht="15">
      <c r="A4" s="27" t="s">
        <v>98</v>
      </c>
      <c r="D4" s="39" t="s">
        <v>80</v>
      </c>
      <c r="E4"/>
      <c r="F4" s="34"/>
    </row>
    <row r="5" spans="1:6" ht="15">
      <c r="A5" t="s">
        <v>100</v>
      </c>
      <c r="B5" s="75">
        <v>1</v>
      </c>
      <c r="C5" s="34" t="s">
        <v>56</v>
      </c>
      <c r="D5" t="s">
        <v>74</v>
      </c>
      <c r="E5" s="64">
        <v>7.73</v>
      </c>
      <c r="F5" s="34" t="s">
        <v>48</v>
      </c>
    </row>
    <row r="6" spans="1:6" ht="15">
      <c r="A6" t="s">
        <v>25</v>
      </c>
      <c r="B6" s="76">
        <v>250</v>
      </c>
      <c r="C6" s="34" t="str">
        <f>IF(A49,"In Maryland most people put 250-300 shells per bag.","shells per bag")</f>
        <v>shells per bag</v>
      </c>
      <c r="D6" s="31" t="s">
        <v>10</v>
      </c>
      <c r="E6" s="64">
        <v>500</v>
      </c>
      <c r="F6" s="34" t="s">
        <v>11</v>
      </c>
    </row>
    <row r="7" spans="1:6" ht="15">
      <c r="A7" t="s">
        <v>101</v>
      </c>
      <c r="B7" s="63">
        <v>2</v>
      </c>
      <c r="C7" s="34" t="s">
        <v>41</v>
      </c>
      <c r="D7" t="s">
        <v>47</v>
      </c>
      <c r="E7" s="64">
        <v>0.1</v>
      </c>
      <c r="F7" s="34" t="s">
        <v>49</v>
      </c>
    </row>
    <row r="8" spans="1:6" ht="15">
      <c r="A8" t="s">
        <v>99</v>
      </c>
      <c r="B8" s="63">
        <v>4</v>
      </c>
      <c r="C8" s="34" t="s">
        <v>23</v>
      </c>
      <c r="D8" t="s">
        <v>60</v>
      </c>
      <c r="E8" s="64">
        <v>1.25</v>
      </c>
      <c r="F8" s="34" t="s">
        <v>75</v>
      </c>
    </row>
    <row r="9" spans="1:6" ht="15">
      <c r="A9" t="s">
        <v>81</v>
      </c>
      <c r="B9" s="77">
        <v>12</v>
      </c>
      <c r="C9" s="34" t="s">
        <v>82</v>
      </c>
      <c r="D9" t="s">
        <v>110</v>
      </c>
      <c r="E9" s="64">
        <v>0.25</v>
      </c>
      <c r="F9" s="34" t="s">
        <v>75</v>
      </c>
    </row>
    <row r="10" spans="1:10" ht="15">
      <c r="A10" t="s">
        <v>28</v>
      </c>
      <c r="B10" s="65">
        <v>0.1</v>
      </c>
      <c r="C10" s="40">
        <f>IF(A48=TRUE,"In Maryland, setting rates generally range from 5-30% depending on larval quality, site specific conditions, and larval handling.","")</f>
      </c>
      <c r="D10" t="s">
        <v>109</v>
      </c>
      <c r="E10" s="64">
        <v>0.05</v>
      </c>
      <c r="F10" s="34" t="s">
        <v>40</v>
      </c>
      <c r="J10" s="4"/>
    </row>
    <row r="11" spans="1:6" ht="15">
      <c r="A11" t="s">
        <v>102</v>
      </c>
      <c r="B11" s="71">
        <v>0</v>
      </c>
      <c r="C11" s="40" t="str">
        <f>IF(B11&gt;0,"Running a heater will increase your expenses"," ")</f>
        <v> </v>
      </c>
      <c r="D11" t="s">
        <v>111</v>
      </c>
      <c r="E11" s="64">
        <v>120</v>
      </c>
      <c r="F11" s="34" t="s">
        <v>76</v>
      </c>
    </row>
    <row r="12" spans="2:6" ht="15">
      <c r="B12" s="33"/>
      <c r="C12" s="40">
        <f>IF(B11&gt;E24,"YOU SHOULD NOT PLAN TO RUN THE HEATER FOR MORE THAN THE TOTAL NUMBER OF SETS","")</f>
      </c>
      <c r="D12" t="s">
        <v>26</v>
      </c>
      <c r="E12" s="79">
        <v>200</v>
      </c>
      <c r="F12" s="34" t="s">
        <v>27</v>
      </c>
    </row>
    <row r="13" spans="1:10" ht="15">
      <c r="A13" s="27" t="s">
        <v>79</v>
      </c>
      <c r="B13" s="1"/>
      <c r="D13" s="4"/>
      <c r="E13"/>
      <c r="F13" s="34"/>
      <c r="J13" s="4"/>
    </row>
    <row r="14" spans="1:6" ht="15">
      <c r="A14" t="s">
        <v>71</v>
      </c>
      <c r="B14" s="78">
        <v>2</v>
      </c>
      <c r="D14" s="27" t="s">
        <v>91</v>
      </c>
      <c r="E14" s="31"/>
      <c r="F14" s="34"/>
    </row>
    <row r="15" spans="1:6" ht="15">
      <c r="A15" t="s">
        <v>29</v>
      </c>
      <c r="B15" s="71">
        <v>3000</v>
      </c>
      <c r="C15" s="34" t="s">
        <v>30</v>
      </c>
      <c r="D15" t="s">
        <v>112</v>
      </c>
      <c r="E15" s="80">
        <v>0.32</v>
      </c>
      <c r="F15" s="34" t="s">
        <v>63</v>
      </c>
    </row>
    <row r="16" spans="1:6" ht="15">
      <c r="A16" t="s">
        <v>5</v>
      </c>
      <c r="B16" s="71">
        <v>50</v>
      </c>
      <c r="C16" s="34" t="s">
        <v>84</v>
      </c>
      <c r="D16" t="s">
        <v>51</v>
      </c>
      <c r="E16" s="80">
        <v>0.03</v>
      </c>
      <c r="F16" s="34" t="s">
        <v>63</v>
      </c>
    </row>
    <row r="17" spans="1:6" ht="15">
      <c r="A17" t="s">
        <v>103</v>
      </c>
      <c r="B17" s="71">
        <v>900</v>
      </c>
      <c r="C17" s="34" t="s">
        <v>32</v>
      </c>
      <c r="D17" t="s">
        <v>52</v>
      </c>
      <c r="E17" s="80">
        <v>0.04</v>
      </c>
      <c r="F17" s="34" t="s">
        <v>63</v>
      </c>
    </row>
    <row r="18" spans="1:6" ht="15">
      <c r="A18" t="s">
        <v>104</v>
      </c>
      <c r="B18" s="71">
        <v>100</v>
      </c>
      <c r="C18" s="34" t="str">
        <f>IF(A50,"Generally you want a range of 50-100 gallons per minute per tank. You should plan on at least 2 pumps in case one fails.","gpm")</f>
        <v>gpm</v>
      </c>
      <c r="D18"/>
      <c r="E18"/>
      <c r="F18" s="34"/>
    </row>
    <row r="19" spans="1:6" ht="15">
      <c r="A19" t="s">
        <v>105</v>
      </c>
      <c r="B19" s="71">
        <v>2760</v>
      </c>
      <c r="C19" s="34" t="s">
        <v>32</v>
      </c>
      <c r="D19" s="27" t="s">
        <v>78</v>
      </c>
      <c r="E19"/>
      <c r="F19" s="34"/>
    </row>
    <row r="20" spans="1:6" ht="15">
      <c r="A20" t="s">
        <v>31</v>
      </c>
      <c r="B20" s="71">
        <v>15000</v>
      </c>
      <c r="C20" s="34" t="s">
        <v>32</v>
      </c>
      <c r="D20" t="s">
        <v>83</v>
      </c>
      <c r="E20">
        <f>B5/B10</f>
        <v>10</v>
      </c>
      <c r="F20" s="34" t="s">
        <v>56</v>
      </c>
    </row>
    <row r="21" spans="1:6" ht="15">
      <c r="A21" t="s">
        <v>106</v>
      </c>
      <c r="B21" s="71">
        <v>10</v>
      </c>
      <c r="D21" t="s">
        <v>72</v>
      </c>
      <c r="E21" s="6">
        <f>(B5*1000000)/B9/B6</f>
        <v>333.3333333333333</v>
      </c>
      <c r="F21" s="34" t="s">
        <v>73</v>
      </c>
    </row>
    <row r="22" spans="1:6" ht="15">
      <c r="A22" t="s">
        <v>107</v>
      </c>
      <c r="B22" s="71">
        <v>7</v>
      </c>
      <c r="D22"/>
      <c r="E22" s="6">
        <f>E21/B7</f>
        <v>166.66666666666666</v>
      </c>
      <c r="F22" s="45" t="s">
        <v>92</v>
      </c>
    </row>
    <row r="23" spans="1:6" ht="15">
      <c r="A23" t="s">
        <v>108</v>
      </c>
      <c r="B23" s="71">
        <v>10</v>
      </c>
      <c r="D23" t="s">
        <v>113</v>
      </c>
      <c r="E23" s="5">
        <f>(B15*B14)/10</f>
        <v>600</v>
      </c>
      <c r="F23" s="34" t="s">
        <v>73</v>
      </c>
    </row>
    <row r="24" spans="2:6" ht="15">
      <c r="B24" s="33"/>
      <c r="D24" t="s">
        <v>114</v>
      </c>
      <c r="E24" s="32">
        <f>ROUNDUP((E21/E23),0)</f>
        <v>1</v>
      </c>
      <c r="F24" s="34"/>
    </row>
    <row r="25" spans="4:6" ht="15">
      <c r="D25" t="s">
        <v>115</v>
      </c>
      <c r="E25" s="36">
        <f>(B5*1000000)/B10/E24</f>
        <v>10000000</v>
      </c>
      <c r="F25" s="34"/>
    </row>
    <row r="27" spans="1:6" ht="42" customHeight="1">
      <c r="A27" s="94" t="s">
        <v>1</v>
      </c>
      <c r="B27" s="94"/>
      <c r="C27" s="94"/>
      <c r="D27" s="94"/>
      <c r="E27" s="94"/>
      <c r="F27" s="94"/>
    </row>
    <row r="28" spans="1:6" ht="15">
      <c r="A28" s="84"/>
      <c r="B28" s="82"/>
      <c r="C28" s="83"/>
      <c r="D28" s="83"/>
      <c r="E28" s="83"/>
      <c r="F28" s="82"/>
    </row>
    <row r="29" spans="1:6" ht="27" customHeight="1">
      <c r="A29" s="94" t="s">
        <v>2</v>
      </c>
      <c r="B29" s="94"/>
      <c r="C29" s="94"/>
      <c r="D29" s="94"/>
      <c r="E29" s="94"/>
      <c r="F29" s="94"/>
    </row>
    <row r="48" spans="1:2" ht="15">
      <c r="A48" s="85" t="b">
        <f>OR(B10&lt;0.05,B10&gt;0.3)</f>
        <v>0</v>
      </c>
      <c r="B48" s="86" t="s">
        <v>95</v>
      </c>
    </row>
    <row r="49" spans="1:2" ht="15">
      <c r="A49" s="86" t="b">
        <f>OR(B6&lt;250,B6&gt;300)</f>
        <v>0</v>
      </c>
      <c r="B49" s="86" t="s">
        <v>96</v>
      </c>
    </row>
    <row r="50" spans="1:2" ht="15">
      <c r="A50" s="86" t="b">
        <f>OR((B18/B14)&lt;50,(B18/B14)&gt;100)</f>
        <v>0</v>
      </c>
      <c r="B50" s="86" t="s">
        <v>97</v>
      </c>
    </row>
  </sheetData>
  <sheetProtection/>
  <mergeCells count="2">
    <mergeCell ref="A27:F27"/>
    <mergeCell ref="A29:F29"/>
  </mergeCells>
  <printOptions gridLines="1" headings="1"/>
  <pageMargins left="0.7" right="0.7" top="1" bottom="0.75" header="0.3" footer="0.3"/>
  <pageSetup fitToHeight="0" fitToWidth="1" horizontalDpi="600" verticalDpi="600" orientation="landscape" scale="89"/>
  <headerFooter>
    <oddFooter>&amp;L&amp;G</oddFooter>
  </headerFooter>
  <legacyDrawingHF r:id="rId1"/>
</worksheet>
</file>

<file path=xl/worksheets/sheet3.xml><?xml version="1.0" encoding="utf-8"?>
<worksheet xmlns="http://schemas.openxmlformats.org/spreadsheetml/2006/main" xmlns:r="http://schemas.openxmlformats.org/officeDocument/2006/relationships">
  <sheetPr>
    <tabColor rgb="FF00B0F0"/>
  </sheetPr>
  <dimension ref="A1:I20"/>
  <sheetViews>
    <sheetView zoomScalePageLayoutView="0" workbookViewId="0" topLeftCell="A1">
      <selection activeCell="B6" sqref="B6"/>
    </sheetView>
  </sheetViews>
  <sheetFormatPr defaultColWidth="9.28125" defaultRowHeight="15"/>
  <cols>
    <col min="1" max="1" width="23.00390625" style="0" bestFit="1" customWidth="1"/>
    <col min="2" max="2" width="8.7109375" style="0" bestFit="1" customWidth="1"/>
    <col min="3" max="3" width="12.28125" style="0" bestFit="1" customWidth="1"/>
    <col min="4" max="4" width="11.421875" style="0" bestFit="1" customWidth="1"/>
    <col min="5" max="5" width="10.140625" style="0" customWidth="1"/>
    <col min="6" max="6" width="15.421875" style="0" customWidth="1"/>
    <col min="7" max="7" width="14.7109375" style="0" customWidth="1"/>
  </cols>
  <sheetData>
    <row r="1" ht="15">
      <c r="A1" t="s">
        <v>3</v>
      </c>
    </row>
    <row r="2" spans="1:7" s="4" customFormat="1" ht="57.75" customHeight="1">
      <c r="A2" s="23" t="s">
        <v>20</v>
      </c>
      <c r="B2" s="61" t="s">
        <v>39</v>
      </c>
      <c r="C2" s="61" t="s">
        <v>13</v>
      </c>
      <c r="D2" s="61" t="s">
        <v>21</v>
      </c>
      <c r="E2" s="61" t="s">
        <v>7</v>
      </c>
      <c r="F2" s="61" t="s">
        <v>8</v>
      </c>
      <c r="G2" s="61" t="s">
        <v>6</v>
      </c>
    </row>
    <row r="3" spans="1:7" ht="15">
      <c r="A3" s="24" t="s">
        <v>33</v>
      </c>
      <c r="B3" s="28">
        <f>Assumptions!B14</f>
        <v>2</v>
      </c>
      <c r="C3" s="64">
        <v>1500</v>
      </c>
      <c r="D3" s="25">
        <f>C3*B3</f>
        <v>3000</v>
      </c>
      <c r="E3" s="63">
        <v>10</v>
      </c>
      <c r="F3" s="65">
        <v>1</v>
      </c>
      <c r="G3" s="25">
        <f>D3/E3*F3</f>
        <v>300</v>
      </c>
    </row>
    <row r="4" spans="1:7" ht="15">
      <c r="A4" s="24" t="s">
        <v>34</v>
      </c>
      <c r="B4" s="24">
        <f>ROUNDUP((0.0083*(Assumptions!B15*B3))/Assumptions!B16,0)</f>
        <v>1</v>
      </c>
      <c r="C4" s="64">
        <v>625</v>
      </c>
      <c r="D4" s="25">
        <f>C4*B4</f>
        <v>625</v>
      </c>
      <c r="E4" s="63">
        <v>5</v>
      </c>
      <c r="F4" s="65">
        <v>1</v>
      </c>
      <c r="G4" s="25">
        <f aca="true" t="shared" si="0" ref="G4:G15">D4/E4*F4</f>
        <v>125</v>
      </c>
    </row>
    <row r="5" spans="1:7" ht="15">
      <c r="A5" s="24" t="s">
        <v>35</v>
      </c>
      <c r="B5" s="87">
        <f>IF(ROUNDUP((0.033*(Assumptions!B15*B3))/Assumptions!B18,0)&gt;2,ROUNDUP((0.033*(Assumptions!B15*B3))/Assumptions!B18,0),ROUNDUP((0.033*(Assumptions!B15*B3))/Assumptions!B18,0))</f>
        <v>2</v>
      </c>
      <c r="C5" s="64">
        <v>575</v>
      </c>
      <c r="D5" s="25">
        <f>C5*B5</f>
        <v>1150</v>
      </c>
      <c r="E5" s="63">
        <v>5</v>
      </c>
      <c r="F5" s="65">
        <v>1</v>
      </c>
      <c r="G5" s="25">
        <f t="shared" si="0"/>
        <v>230</v>
      </c>
    </row>
    <row r="6" spans="1:7" ht="15">
      <c r="A6" s="24" t="s">
        <v>36</v>
      </c>
      <c r="B6" s="24">
        <f>B3</f>
        <v>2</v>
      </c>
      <c r="C6" s="64">
        <v>600</v>
      </c>
      <c r="D6" s="25">
        <f>C6*B6</f>
        <v>1200</v>
      </c>
      <c r="E6" s="63">
        <v>10</v>
      </c>
      <c r="F6" s="65">
        <v>1</v>
      </c>
      <c r="G6" s="25">
        <f t="shared" si="0"/>
        <v>120</v>
      </c>
    </row>
    <row r="7" spans="1:7" ht="15">
      <c r="A7" s="24" t="s">
        <v>37</v>
      </c>
      <c r="B7" s="24"/>
      <c r="C7" s="64">
        <v>400</v>
      </c>
      <c r="D7" s="25">
        <f>C7</f>
        <v>400</v>
      </c>
      <c r="E7" s="63">
        <v>3</v>
      </c>
      <c r="F7" s="65">
        <v>1</v>
      </c>
      <c r="G7" s="25">
        <f t="shared" si="0"/>
        <v>133.33333333333334</v>
      </c>
    </row>
    <row r="8" spans="1:7" ht="15">
      <c r="A8" s="24" t="s">
        <v>38</v>
      </c>
      <c r="B8" s="24"/>
      <c r="C8" s="64">
        <v>2050</v>
      </c>
      <c r="D8" s="25">
        <f>C8</f>
        <v>2050</v>
      </c>
      <c r="E8" s="63">
        <v>10</v>
      </c>
      <c r="F8" s="65">
        <v>1</v>
      </c>
      <c r="G8" s="25">
        <f t="shared" si="0"/>
        <v>205</v>
      </c>
    </row>
    <row r="9" spans="1:7" ht="15">
      <c r="A9" s="63"/>
      <c r="B9" s="63"/>
      <c r="C9" s="64"/>
      <c r="D9" s="25">
        <f>B9*C9</f>
        <v>0</v>
      </c>
      <c r="E9" s="63">
        <v>1</v>
      </c>
      <c r="F9" s="65"/>
      <c r="G9" s="25">
        <f t="shared" si="0"/>
        <v>0</v>
      </c>
    </row>
    <row r="10" spans="1:7" ht="15">
      <c r="A10" s="63"/>
      <c r="B10" s="63"/>
      <c r="C10" s="64"/>
      <c r="D10" s="25">
        <f aca="true" t="shared" si="1" ref="D10:D15">B10*C10</f>
        <v>0</v>
      </c>
      <c r="E10" s="63">
        <v>1</v>
      </c>
      <c r="F10" s="65"/>
      <c r="G10" s="25">
        <f t="shared" si="0"/>
        <v>0</v>
      </c>
    </row>
    <row r="11" spans="1:7" ht="15">
      <c r="A11" s="63"/>
      <c r="B11" s="63"/>
      <c r="C11" s="64"/>
      <c r="D11" s="25">
        <f t="shared" si="1"/>
        <v>0</v>
      </c>
      <c r="E11" s="63">
        <v>1</v>
      </c>
      <c r="F11" s="65"/>
      <c r="G11" s="25">
        <f t="shared" si="0"/>
        <v>0</v>
      </c>
    </row>
    <row r="12" spans="1:7" ht="15">
      <c r="A12" s="63"/>
      <c r="B12" s="63"/>
      <c r="C12" s="64"/>
      <c r="D12" s="25">
        <f t="shared" si="1"/>
        <v>0</v>
      </c>
      <c r="E12" s="63">
        <v>1</v>
      </c>
      <c r="F12" s="65"/>
      <c r="G12" s="25">
        <f t="shared" si="0"/>
        <v>0</v>
      </c>
    </row>
    <row r="13" spans="1:7" ht="15">
      <c r="A13" s="63"/>
      <c r="B13" s="63"/>
      <c r="C13" s="64"/>
      <c r="D13" s="25">
        <f t="shared" si="1"/>
        <v>0</v>
      </c>
      <c r="E13" s="63">
        <v>1</v>
      </c>
      <c r="F13" s="65"/>
      <c r="G13" s="25">
        <f t="shared" si="0"/>
        <v>0</v>
      </c>
    </row>
    <row r="14" spans="1:7" ht="15">
      <c r="A14" s="63"/>
      <c r="B14" s="63"/>
      <c r="C14" s="63"/>
      <c r="D14" s="25">
        <f t="shared" si="1"/>
        <v>0</v>
      </c>
      <c r="E14" s="63">
        <v>1</v>
      </c>
      <c r="F14" s="65"/>
      <c r="G14" s="25">
        <f t="shared" si="0"/>
        <v>0</v>
      </c>
    </row>
    <row r="15" spans="1:7" ht="15">
      <c r="A15" s="63"/>
      <c r="B15" s="63"/>
      <c r="C15" s="64"/>
      <c r="D15" s="25">
        <f t="shared" si="1"/>
        <v>0</v>
      </c>
      <c r="E15" s="63">
        <v>1</v>
      </c>
      <c r="F15" s="65"/>
      <c r="G15" s="25">
        <f t="shared" si="0"/>
        <v>0</v>
      </c>
    </row>
    <row r="16" spans="1:7" ht="15">
      <c r="A16" s="27" t="s">
        <v>70</v>
      </c>
      <c r="C16" s="2"/>
      <c r="D16" s="26">
        <f>SUM(D3:D15)</f>
        <v>8425</v>
      </c>
      <c r="G16" s="26">
        <f>SUM(G3:G15)</f>
        <v>1113.3333333333335</v>
      </c>
    </row>
    <row r="18" spans="1:9" ht="42" customHeight="1">
      <c r="A18" s="94" t="s">
        <v>1</v>
      </c>
      <c r="B18" s="94"/>
      <c r="C18" s="94"/>
      <c r="D18" s="94"/>
      <c r="E18" s="94"/>
      <c r="F18" s="94"/>
      <c r="G18" s="94"/>
      <c r="H18" s="94"/>
      <c r="I18" s="94"/>
    </row>
    <row r="19" spans="1:9" ht="15">
      <c r="A19" s="84"/>
      <c r="B19" s="82"/>
      <c r="C19" s="83"/>
      <c r="D19" s="83"/>
      <c r="E19" s="83"/>
      <c r="F19" s="82"/>
      <c r="G19" s="82"/>
      <c r="H19" s="82"/>
      <c r="I19" s="82"/>
    </row>
    <row r="20" spans="1:9" ht="29.25" customHeight="1">
      <c r="A20" s="94" t="s">
        <v>2</v>
      </c>
      <c r="B20" s="94"/>
      <c r="C20" s="94"/>
      <c r="D20" s="94"/>
      <c r="E20" s="94"/>
      <c r="F20" s="94"/>
      <c r="G20" s="94"/>
      <c r="H20" s="94"/>
      <c r="I20" s="94"/>
    </row>
  </sheetData>
  <sheetProtection/>
  <mergeCells count="2">
    <mergeCell ref="A18:I18"/>
    <mergeCell ref="A20:I20"/>
  </mergeCells>
  <printOptions gridLines="1" headings="1"/>
  <pageMargins left="0.7" right="0.7" top="1.16" bottom="0.75" header="0.3" footer="0.3"/>
  <pageSetup horizontalDpi="600" verticalDpi="600" orientation="landscape"/>
  <headerFooter>
    <oddFooter>&amp;L&amp;G</oddFooter>
  </headerFooter>
  <legacyDrawingHF r:id="rId1"/>
</worksheet>
</file>

<file path=xl/worksheets/sheet4.xml><?xml version="1.0" encoding="utf-8"?>
<worksheet xmlns="http://schemas.openxmlformats.org/spreadsheetml/2006/main" xmlns:r="http://schemas.openxmlformats.org/officeDocument/2006/relationships">
  <sheetPr>
    <tabColor rgb="FF7030A0"/>
    <pageSetUpPr fitToPage="1"/>
  </sheetPr>
  <dimension ref="A1:K45"/>
  <sheetViews>
    <sheetView tabSelected="1" zoomScalePageLayoutView="0" workbookViewId="0" topLeftCell="A1">
      <selection activeCell="K29" sqref="K29"/>
    </sheetView>
  </sheetViews>
  <sheetFormatPr defaultColWidth="8.8515625" defaultRowHeight="15"/>
  <cols>
    <col min="1" max="1" width="24.421875" style="0" customWidth="1"/>
    <col min="2" max="2" width="18.140625" style="0" bestFit="1" customWidth="1"/>
    <col min="3" max="3" width="10.8515625" style="0" bestFit="1" customWidth="1"/>
    <col min="4" max="4" width="12.7109375" style="0" bestFit="1" customWidth="1"/>
    <col min="5" max="5" width="12.421875" style="0" bestFit="1" customWidth="1"/>
    <col min="6" max="6" width="15.140625" style="0" bestFit="1" customWidth="1"/>
    <col min="7" max="7" width="13.421875" style="0" bestFit="1" customWidth="1"/>
    <col min="8" max="8" width="10.421875" style="0" bestFit="1" customWidth="1"/>
    <col min="9" max="10" width="9.421875" style="0" bestFit="1" customWidth="1"/>
  </cols>
  <sheetData>
    <row r="1" spans="1:11" ht="15">
      <c r="A1" t="s">
        <v>4</v>
      </c>
      <c r="D1" s="95" t="s">
        <v>50</v>
      </c>
      <c r="E1" s="96"/>
      <c r="F1" s="97"/>
      <c r="G1" s="29"/>
      <c r="H1" s="30"/>
      <c r="I1" s="30"/>
      <c r="J1" s="30"/>
      <c r="K1" s="9"/>
    </row>
    <row r="2" spans="1:11" s="4" customFormat="1" ht="30">
      <c r="A2" s="23"/>
      <c r="B2" s="61" t="s">
        <v>22</v>
      </c>
      <c r="C2" s="61" t="s">
        <v>13</v>
      </c>
      <c r="D2" s="61" t="s">
        <v>39</v>
      </c>
      <c r="E2" s="61" t="s">
        <v>21</v>
      </c>
      <c r="F2" s="61" t="s">
        <v>77</v>
      </c>
      <c r="G2" s="7" t="s">
        <v>85</v>
      </c>
      <c r="H2" s="7"/>
      <c r="I2" s="7"/>
      <c r="J2" s="7"/>
      <c r="K2" s="22"/>
    </row>
    <row r="3" spans="1:11" s="4" customFormat="1" ht="15">
      <c r="A3" s="23" t="s">
        <v>86</v>
      </c>
      <c r="B3" s="66" t="s">
        <v>87</v>
      </c>
      <c r="C3" s="67">
        <v>120</v>
      </c>
      <c r="D3" s="68">
        <v>12</v>
      </c>
      <c r="E3" s="25">
        <f>D3*C3</f>
        <v>1440</v>
      </c>
      <c r="F3" s="69">
        <f>E3/Assumptions!$B$5</f>
        <v>1440</v>
      </c>
      <c r="G3" s="35">
        <f aca="true" t="shared" si="0" ref="G3:G10">E3/$E$19</f>
        <v>0.29547840073409964</v>
      </c>
      <c r="H3" s="7"/>
      <c r="I3" s="7"/>
      <c r="J3" s="7"/>
      <c r="K3" s="22"/>
    </row>
    <row r="4" spans="1:11" ht="15">
      <c r="A4" s="24" t="s">
        <v>46</v>
      </c>
      <c r="B4" s="24" t="s">
        <v>56</v>
      </c>
      <c r="C4" s="25">
        <f>Assumptions!E12</f>
        <v>200</v>
      </c>
      <c r="D4" s="70">
        <f>Assumptions!E20</f>
        <v>10</v>
      </c>
      <c r="E4" s="25">
        <f>D4*C4</f>
        <v>2000</v>
      </c>
      <c r="F4" s="69">
        <f>E4/Assumptions!$B$5</f>
        <v>2000</v>
      </c>
      <c r="G4" s="35">
        <f t="shared" si="0"/>
        <v>0.41038666768624954</v>
      </c>
      <c r="H4" s="12"/>
      <c r="I4" s="12"/>
      <c r="J4" s="11"/>
      <c r="K4" s="9"/>
    </row>
    <row r="5" spans="1:10" ht="15">
      <c r="A5" s="24" t="s">
        <v>44</v>
      </c>
      <c r="B5" s="24" t="s">
        <v>57</v>
      </c>
      <c r="C5" s="25">
        <f>Assumptions!E8+Assumptions!E9</f>
        <v>1.5</v>
      </c>
      <c r="D5" s="70">
        <f>Assumptions!E22</f>
        <v>166.66666666666666</v>
      </c>
      <c r="E5" s="25">
        <f>C5*D5</f>
        <v>250</v>
      </c>
      <c r="F5" s="69">
        <f>E5/Assumptions!$B$5</f>
        <v>250</v>
      </c>
      <c r="G5" s="35">
        <f t="shared" si="0"/>
        <v>0.05129833346078119</v>
      </c>
      <c r="H5" s="12"/>
      <c r="I5" s="12"/>
      <c r="J5" s="11"/>
    </row>
    <row r="6" spans="1:11" ht="15">
      <c r="A6" s="24" t="s">
        <v>45</v>
      </c>
      <c r="B6" s="24" t="s">
        <v>40</v>
      </c>
      <c r="C6" s="25">
        <f>Assumptions!E10</f>
        <v>0.05</v>
      </c>
      <c r="D6" s="70">
        <f>D5*Assumptions!B8*Assumptions!B7</f>
        <v>1333.3333333333333</v>
      </c>
      <c r="E6" s="25">
        <f>C6*D6</f>
        <v>66.66666666666667</v>
      </c>
      <c r="F6" s="69">
        <f>E6/Assumptions!$B$5</f>
        <v>66.66666666666667</v>
      </c>
      <c r="G6" s="35">
        <f t="shared" si="0"/>
        <v>0.013679555589541651</v>
      </c>
      <c r="H6" s="12"/>
      <c r="I6" s="12"/>
      <c r="J6" s="11"/>
      <c r="K6" s="9"/>
    </row>
    <row r="7" spans="1:11" ht="15">
      <c r="A7" s="24" t="s">
        <v>88</v>
      </c>
      <c r="B7" s="24" t="s">
        <v>89</v>
      </c>
      <c r="C7" s="25">
        <f>Assumptions!$E$5</f>
        <v>7.73</v>
      </c>
      <c r="D7" s="70">
        <f>(Assumptions!E15*D5)+(Assumptions!E16*D5)+(Assumptions!E17*D5)</f>
        <v>65</v>
      </c>
      <c r="E7" s="25">
        <f>C7*D7</f>
        <v>502.45000000000005</v>
      </c>
      <c r="F7" s="69">
        <f>E7/Assumptions!$B$5</f>
        <v>502.45000000000005</v>
      </c>
      <c r="G7" s="35">
        <f t="shared" si="0"/>
        <v>0.10309939058947805</v>
      </c>
      <c r="H7" s="12"/>
      <c r="I7" s="12"/>
      <c r="J7" s="11"/>
      <c r="K7" s="9"/>
    </row>
    <row r="8" spans="1:11" ht="15">
      <c r="A8" s="24" t="s">
        <v>9</v>
      </c>
      <c r="B8" s="62" t="s">
        <v>12</v>
      </c>
      <c r="C8" s="25">
        <f>Assumptions!E6</f>
        <v>500</v>
      </c>
      <c r="D8" s="70">
        <f>Assumptions!E24</f>
        <v>1</v>
      </c>
      <c r="E8" s="25">
        <f>C8*D8</f>
        <v>500</v>
      </c>
      <c r="F8" s="69">
        <f>E8/Assumptions!$B$5</f>
        <v>500</v>
      </c>
      <c r="G8" s="35">
        <f t="shared" si="0"/>
        <v>0.10259666692156238</v>
      </c>
      <c r="H8" s="12"/>
      <c r="I8" s="12"/>
      <c r="J8" s="11"/>
      <c r="K8" s="9"/>
    </row>
    <row r="9" spans="1:11" ht="15">
      <c r="A9" s="24" t="s">
        <v>53</v>
      </c>
      <c r="B9" s="24" t="s">
        <v>58</v>
      </c>
      <c r="C9" s="25">
        <f>((Assumptions!B17*24)/(1000/Assumptions!E7)*'Equipment List'!B4)</f>
        <v>2.16</v>
      </c>
      <c r="D9" s="70">
        <f>Assumptions!B23*Assumptions!$E$24</f>
        <v>10</v>
      </c>
      <c r="E9" s="25">
        <f aca="true" t="shared" si="1" ref="E9:E18">D9*C9</f>
        <v>21.6</v>
      </c>
      <c r="F9" s="69">
        <f>E9/Assumptions!$B$5</f>
        <v>21.6</v>
      </c>
      <c r="G9" s="35">
        <f t="shared" si="0"/>
        <v>0.004432176011011495</v>
      </c>
      <c r="H9" s="12"/>
      <c r="I9" s="12"/>
      <c r="J9" s="11"/>
      <c r="K9" s="9"/>
    </row>
    <row r="10" spans="1:11" ht="15">
      <c r="A10" s="24" t="s">
        <v>54</v>
      </c>
      <c r="B10" s="24" t="s">
        <v>58</v>
      </c>
      <c r="C10" s="25">
        <f>((Assumptions!B19*24)/(1000/Assumptions!E7)*'Equipment List'!B5)</f>
        <v>13.248</v>
      </c>
      <c r="D10" s="70">
        <f>Assumptions!B22*Assumptions!$E$24</f>
        <v>7</v>
      </c>
      <c r="E10" s="25">
        <f t="shared" si="1"/>
        <v>92.73599999999999</v>
      </c>
      <c r="F10" s="69">
        <f>E10/Assumptions!$B$5</f>
        <v>92.73599999999999</v>
      </c>
      <c r="G10" s="35">
        <f t="shared" si="0"/>
        <v>0.019028809007276014</v>
      </c>
      <c r="H10" s="12"/>
      <c r="I10" s="12"/>
      <c r="J10" s="11"/>
      <c r="K10" s="9"/>
    </row>
    <row r="11" spans="1:11" ht="15">
      <c r="A11" s="24" t="s">
        <v>59</v>
      </c>
      <c r="B11" s="24" t="s">
        <v>58</v>
      </c>
      <c r="C11" s="25">
        <f>((Assumptions!B20*24)/(1000/Assumptions!E7)*'Equipment List'!B6)</f>
        <v>72</v>
      </c>
      <c r="D11" s="70">
        <f>Assumptions!B21*Assumptions!B11</f>
        <v>0</v>
      </c>
      <c r="E11" s="25">
        <f t="shared" si="1"/>
        <v>0</v>
      </c>
      <c r="F11" s="69">
        <f>E11/Assumptions!$B$5</f>
        <v>0</v>
      </c>
      <c r="G11" s="35">
        <f>E11/$E$19</f>
        <v>0</v>
      </c>
      <c r="H11" s="12"/>
      <c r="I11" s="12"/>
      <c r="J11" s="11"/>
      <c r="K11" s="9"/>
    </row>
    <row r="12" spans="1:11" ht="15">
      <c r="A12" s="63"/>
      <c r="B12" s="63"/>
      <c r="C12" s="64"/>
      <c r="D12" s="71"/>
      <c r="E12" s="25">
        <f t="shared" si="1"/>
        <v>0</v>
      </c>
      <c r="F12" s="69">
        <f>E12/Assumptions!$B$5</f>
        <v>0</v>
      </c>
      <c r="G12" s="35">
        <f aca="true" t="shared" si="2" ref="G12:G18">E12/$E$19</f>
        <v>0</v>
      </c>
      <c r="H12" s="12"/>
      <c r="I12" s="12"/>
      <c r="J12" s="11"/>
      <c r="K12" s="9"/>
    </row>
    <row r="13" spans="1:11" ht="15">
      <c r="A13" s="63"/>
      <c r="B13" s="63"/>
      <c r="C13" s="64"/>
      <c r="D13" s="71"/>
      <c r="E13" s="25">
        <f t="shared" si="1"/>
        <v>0</v>
      </c>
      <c r="F13" s="69">
        <f>E13/Assumptions!$B$5</f>
        <v>0</v>
      </c>
      <c r="G13" s="35">
        <f t="shared" si="2"/>
        <v>0</v>
      </c>
      <c r="H13" s="12"/>
      <c r="I13" s="12"/>
      <c r="J13" s="11"/>
      <c r="K13" s="9"/>
    </row>
    <row r="14" spans="1:11" ht="15">
      <c r="A14" s="63"/>
      <c r="B14" s="63"/>
      <c r="C14" s="64"/>
      <c r="D14" s="71"/>
      <c r="E14" s="25">
        <f t="shared" si="1"/>
        <v>0</v>
      </c>
      <c r="F14" s="69">
        <f>E14/Assumptions!$B$5</f>
        <v>0</v>
      </c>
      <c r="G14" s="35">
        <f t="shared" si="2"/>
        <v>0</v>
      </c>
      <c r="H14" s="12"/>
      <c r="I14" s="12"/>
      <c r="J14" s="11"/>
      <c r="K14" s="9"/>
    </row>
    <row r="15" spans="1:11" ht="15">
      <c r="A15" s="63"/>
      <c r="B15" s="63"/>
      <c r="C15" s="64"/>
      <c r="D15" s="71"/>
      <c r="E15" s="25">
        <f t="shared" si="1"/>
        <v>0</v>
      </c>
      <c r="F15" s="69">
        <f>E15/Assumptions!$B$5</f>
        <v>0</v>
      </c>
      <c r="G15" s="35">
        <f t="shared" si="2"/>
        <v>0</v>
      </c>
      <c r="H15" s="12"/>
      <c r="I15" s="12"/>
      <c r="J15" s="11"/>
      <c r="K15" s="9"/>
    </row>
    <row r="16" spans="1:11" ht="15">
      <c r="A16" s="63"/>
      <c r="B16" s="63"/>
      <c r="C16" s="64"/>
      <c r="D16" s="71"/>
      <c r="E16" s="25">
        <f t="shared" si="1"/>
        <v>0</v>
      </c>
      <c r="F16" s="69">
        <f>E16/Assumptions!$B$5</f>
        <v>0</v>
      </c>
      <c r="G16" s="35">
        <f t="shared" si="2"/>
        <v>0</v>
      </c>
      <c r="H16" s="12"/>
      <c r="I16" s="12"/>
      <c r="J16" s="11"/>
      <c r="K16" s="9"/>
    </row>
    <row r="17" spans="1:11" ht="15">
      <c r="A17" s="63"/>
      <c r="B17" s="63"/>
      <c r="C17" s="63"/>
      <c r="D17" s="63"/>
      <c r="E17" s="25">
        <f t="shared" si="1"/>
        <v>0</v>
      </c>
      <c r="F17" s="69">
        <f>E17/Assumptions!$B$5</f>
        <v>0</v>
      </c>
      <c r="G17" s="35">
        <f t="shared" si="2"/>
        <v>0</v>
      </c>
      <c r="H17" s="12"/>
      <c r="I17" s="12"/>
      <c r="J17" s="11"/>
      <c r="K17" s="9"/>
    </row>
    <row r="18" spans="1:11" ht="15.75" thickBot="1">
      <c r="A18" s="72"/>
      <c r="B18" s="72"/>
      <c r="C18" s="72"/>
      <c r="D18" s="72"/>
      <c r="E18" s="73">
        <f t="shared" si="1"/>
        <v>0</v>
      </c>
      <c r="F18" s="74">
        <f>E18/Assumptions!$B$5</f>
        <v>0</v>
      </c>
      <c r="G18" s="35">
        <f t="shared" si="2"/>
        <v>0</v>
      </c>
      <c r="H18" s="9"/>
      <c r="I18" s="12"/>
      <c r="J18" s="11"/>
      <c r="K18" s="9"/>
    </row>
    <row r="19" spans="1:11" ht="15">
      <c r="A19" s="8" t="s">
        <v>64</v>
      </c>
      <c r="B19" s="9"/>
      <c r="C19" s="10"/>
      <c r="D19" s="8"/>
      <c r="E19" s="12">
        <f>SUM(E3:E18)</f>
        <v>4873.452666666667</v>
      </c>
      <c r="F19" s="13">
        <f>E19/Assumptions!$B$5</f>
        <v>4873.452666666667</v>
      </c>
      <c r="G19" s="35">
        <f>E19/$E$19</f>
        <v>1</v>
      </c>
      <c r="H19" s="12"/>
      <c r="I19" s="12"/>
      <c r="J19" s="11"/>
      <c r="K19" s="9"/>
    </row>
    <row r="20" spans="1:6" ht="15">
      <c r="A20" s="8" t="s">
        <v>65</v>
      </c>
      <c r="B20" s="9"/>
      <c r="C20" s="10"/>
      <c r="D20" s="9"/>
      <c r="E20" s="9"/>
      <c r="F20" s="10"/>
    </row>
    <row r="21" spans="1:6" ht="15">
      <c r="A21" s="14" t="s">
        <v>66</v>
      </c>
      <c r="B21" s="20">
        <f>'Equipment List'!G16</f>
        <v>1113.3333333333335</v>
      </c>
      <c r="C21" s="16" t="s">
        <v>67</v>
      </c>
      <c r="D21" s="15"/>
      <c r="E21" s="15"/>
      <c r="F21" s="16"/>
    </row>
    <row r="22" ht="15">
      <c r="B22" s="3"/>
    </row>
    <row r="23" spans="4:6" ht="15">
      <c r="D23" s="95" t="s">
        <v>43</v>
      </c>
      <c r="E23" s="96"/>
      <c r="F23" s="97"/>
    </row>
    <row r="24" spans="1:6" ht="30">
      <c r="A24" s="23"/>
      <c r="B24" s="61" t="s">
        <v>22</v>
      </c>
      <c r="C24" s="61" t="s">
        <v>13</v>
      </c>
      <c r="D24" s="61" t="s">
        <v>55</v>
      </c>
      <c r="E24" s="61" t="s">
        <v>21</v>
      </c>
      <c r="F24" s="61" t="s">
        <v>77</v>
      </c>
    </row>
    <row r="25" spans="1:6" ht="15">
      <c r="A25" s="24" t="s">
        <v>46</v>
      </c>
      <c r="B25" s="24" t="s">
        <v>56</v>
      </c>
      <c r="C25" s="25">
        <f>Assumptions!E12</f>
        <v>200</v>
      </c>
      <c r="D25" s="70">
        <f>D4/Assumptions!E24</f>
        <v>10</v>
      </c>
      <c r="E25" s="69">
        <f aca="true" t="shared" si="3" ref="E25:E31">D25*C25</f>
        <v>2000</v>
      </c>
      <c r="F25" s="25">
        <f>E25/(Assumptions!$B$5)</f>
        <v>2000</v>
      </c>
    </row>
    <row r="26" spans="1:6" ht="15">
      <c r="A26" s="24" t="s">
        <v>44</v>
      </c>
      <c r="B26" s="24" t="s">
        <v>57</v>
      </c>
      <c r="C26" s="25">
        <f>Assumptions!E8+Assumptions!E9</f>
        <v>1.5</v>
      </c>
      <c r="D26" s="70">
        <f>Assumptions!E22/Assumptions!E24</f>
        <v>166.66666666666666</v>
      </c>
      <c r="E26" s="69">
        <f t="shared" si="3"/>
        <v>250</v>
      </c>
      <c r="F26" s="25">
        <f>E26/(Assumptions!$B$5)</f>
        <v>250</v>
      </c>
    </row>
    <row r="27" spans="1:6" ht="15">
      <c r="A27" s="24" t="s">
        <v>45</v>
      </c>
      <c r="B27" s="24" t="s">
        <v>40</v>
      </c>
      <c r="C27" s="25">
        <f>Assumptions!E10</f>
        <v>0.05</v>
      </c>
      <c r="D27" s="70">
        <f>D26*Assumptions!B8*Assumptions!B7</f>
        <v>1333.3333333333333</v>
      </c>
      <c r="E27" s="69">
        <f t="shared" si="3"/>
        <v>66.66666666666667</v>
      </c>
      <c r="F27" s="25">
        <f>E27/(Assumptions!$B$5)</f>
        <v>66.66666666666667</v>
      </c>
    </row>
    <row r="28" spans="1:6" ht="15">
      <c r="A28" s="24" t="s">
        <v>88</v>
      </c>
      <c r="B28" s="24" t="s">
        <v>90</v>
      </c>
      <c r="C28" s="25">
        <f>Assumptions!$E$5</f>
        <v>7.73</v>
      </c>
      <c r="D28" s="70">
        <f>(Assumptions!E15*$D$26)+(Assumptions!E16*$D$26)+(Assumptions!E17*$D$26)</f>
        <v>65</v>
      </c>
      <c r="E28" s="69">
        <f t="shared" si="3"/>
        <v>502.45000000000005</v>
      </c>
      <c r="F28" s="25">
        <f>E28/(Assumptions!$B$5)</f>
        <v>502.45000000000005</v>
      </c>
    </row>
    <row r="29" spans="1:6" ht="15">
      <c r="A29" s="24" t="s">
        <v>9</v>
      </c>
      <c r="B29" s="62" t="s">
        <v>12</v>
      </c>
      <c r="C29" s="25">
        <f>Assumptions!E6</f>
        <v>500</v>
      </c>
      <c r="D29" s="70">
        <v>1</v>
      </c>
      <c r="E29" s="69">
        <f t="shared" si="3"/>
        <v>500</v>
      </c>
      <c r="F29" s="25">
        <f>E29/(Assumptions!$B$5)</f>
        <v>500</v>
      </c>
    </row>
    <row r="30" spans="1:6" ht="15">
      <c r="A30" s="24" t="s">
        <v>53</v>
      </c>
      <c r="B30" s="24" t="s">
        <v>58</v>
      </c>
      <c r="C30" s="25">
        <f>((Assumptions!B17*24)/(1000/Assumptions!E7)*'Equipment List'!B4)</f>
        <v>2.16</v>
      </c>
      <c r="D30" s="70">
        <f>Assumptions!B23</f>
        <v>10</v>
      </c>
      <c r="E30" s="69">
        <f t="shared" si="3"/>
        <v>21.6</v>
      </c>
      <c r="F30" s="25">
        <f>E30/(Assumptions!$B$5)</f>
        <v>21.6</v>
      </c>
    </row>
    <row r="31" spans="1:6" ht="15">
      <c r="A31" s="24" t="s">
        <v>54</v>
      </c>
      <c r="B31" s="24" t="s">
        <v>58</v>
      </c>
      <c r="C31" s="25">
        <f>((Assumptions!B19*24)/(1000/Assumptions!E7)*'Equipment List'!B5)</f>
        <v>13.248</v>
      </c>
      <c r="D31" s="70">
        <f>Assumptions!B22</f>
        <v>7</v>
      </c>
      <c r="E31" s="69">
        <f t="shared" si="3"/>
        <v>92.73599999999999</v>
      </c>
      <c r="F31" s="25">
        <f>E31/(Assumptions!$B$5)</f>
        <v>92.73599999999999</v>
      </c>
    </row>
    <row r="32" spans="1:6" ht="15">
      <c r="A32" s="24" t="s">
        <v>59</v>
      </c>
      <c r="B32" s="24" t="s">
        <v>58</v>
      </c>
      <c r="C32" s="25">
        <f>((Assumptions!B20*24)/(1000/Assumptions!E7)*'Equipment List'!B6)</f>
        <v>72</v>
      </c>
      <c r="D32" s="70">
        <f>Assumptions!B21*Assumptions!B11</f>
        <v>0</v>
      </c>
      <c r="E32" s="69">
        <f>D32*C32</f>
        <v>0</v>
      </c>
      <c r="F32" s="25">
        <f>E32/(Assumptions!$B$5)</f>
        <v>0</v>
      </c>
    </row>
    <row r="33" spans="1:6" ht="15">
      <c r="A33" s="63"/>
      <c r="B33" s="63"/>
      <c r="C33" s="64"/>
      <c r="D33" s="71"/>
      <c r="E33" s="69">
        <f aca="true" t="shared" si="4" ref="E33:E39">D33*C33</f>
        <v>0</v>
      </c>
      <c r="F33" s="25">
        <f>E33/(Assumptions!$B$5)</f>
        <v>0</v>
      </c>
    </row>
    <row r="34" spans="1:6" ht="15">
      <c r="A34" s="63"/>
      <c r="B34" s="63"/>
      <c r="C34" s="64"/>
      <c r="D34" s="71"/>
      <c r="E34" s="69">
        <f t="shared" si="4"/>
        <v>0</v>
      </c>
      <c r="F34" s="25">
        <f>E34/(Assumptions!$B$5)</f>
        <v>0</v>
      </c>
    </row>
    <row r="35" spans="1:6" ht="15">
      <c r="A35" s="63"/>
      <c r="B35" s="63"/>
      <c r="C35" s="64"/>
      <c r="D35" s="71"/>
      <c r="E35" s="69">
        <f t="shared" si="4"/>
        <v>0</v>
      </c>
      <c r="F35" s="25">
        <f>E35/(Assumptions!$B$5)</f>
        <v>0</v>
      </c>
    </row>
    <row r="36" spans="1:6" ht="15">
      <c r="A36" s="63"/>
      <c r="B36" s="63"/>
      <c r="C36" s="64"/>
      <c r="D36" s="71"/>
      <c r="E36" s="69">
        <f t="shared" si="4"/>
        <v>0</v>
      </c>
      <c r="F36" s="25">
        <f>E36/(Assumptions!$B$5)</f>
        <v>0</v>
      </c>
    </row>
    <row r="37" spans="1:6" ht="15">
      <c r="A37" s="63"/>
      <c r="B37" s="63"/>
      <c r="C37" s="64"/>
      <c r="D37" s="71"/>
      <c r="E37" s="69">
        <f t="shared" si="4"/>
        <v>0</v>
      </c>
      <c r="F37" s="25">
        <f>E37/(Assumptions!$B$5)</f>
        <v>0</v>
      </c>
    </row>
    <row r="38" spans="1:6" ht="15">
      <c r="A38" s="63"/>
      <c r="B38" s="63"/>
      <c r="C38" s="63"/>
      <c r="D38" s="63"/>
      <c r="E38" s="69">
        <f t="shared" si="4"/>
        <v>0</v>
      </c>
      <c r="F38" s="25">
        <f>E38/(Assumptions!$B$5)</f>
        <v>0</v>
      </c>
    </row>
    <row r="39" spans="1:6" ht="15.75" thickBot="1">
      <c r="A39" s="72"/>
      <c r="B39" s="72"/>
      <c r="C39" s="72"/>
      <c r="D39" s="72"/>
      <c r="E39" s="74">
        <f t="shared" si="4"/>
        <v>0</v>
      </c>
      <c r="F39" s="73">
        <f>E39/(Assumptions!$B$5)</f>
        <v>0</v>
      </c>
    </row>
    <row r="40" spans="1:6" ht="15">
      <c r="A40" s="8" t="s">
        <v>116</v>
      </c>
      <c r="B40" s="9"/>
      <c r="C40" s="10"/>
      <c r="D40" s="18" t="s">
        <v>68</v>
      </c>
      <c r="E40" s="12">
        <f>SUM(E25:E39)</f>
        <v>3433.4526666666666</v>
      </c>
      <c r="F40" s="17">
        <f>E40/(Assumptions!$B$5)</f>
        <v>3433.4526666666666</v>
      </c>
    </row>
    <row r="41" spans="1:6" ht="15">
      <c r="A41" s="14"/>
      <c r="B41" s="15"/>
      <c r="C41" s="16"/>
      <c r="D41" s="19" t="s">
        <v>69</v>
      </c>
      <c r="E41" s="20">
        <f>E40-E32</f>
        <v>3433.4526666666666</v>
      </c>
      <c r="F41" s="21">
        <f>E41/(Assumptions!$B$5)</f>
        <v>3433.4526666666666</v>
      </c>
    </row>
    <row r="42" ht="15">
      <c r="A42" t="s">
        <v>117</v>
      </c>
    </row>
    <row r="43" spans="1:6" ht="51" customHeight="1">
      <c r="A43" s="94" t="s">
        <v>1</v>
      </c>
      <c r="B43" s="94"/>
      <c r="C43" s="94"/>
      <c r="D43" s="94"/>
      <c r="E43" s="94"/>
      <c r="F43" s="94"/>
    </row>
    <row r="44" spans="1:6" ht="15">
      <c r="A44" s="84"/>
      <c r="B44" s="82"/>
      <c r="C44" s="83"/>
      <c r="D44" s="83"/>
      <c r="E44" s="83"/>
      <c r="F44" s="82"/>
    </row>
    <row r="45" spans="1:6" ht="28.5" customHeight="1">
      <c r="A45" s="94" t="s">
        <v>2</v>
      </c>
      <c r="B45" s="94"/>
      <c r="C45" s="94"/>
      <c r="D45" s="94"/>
      <c r="E45" s="94"/>
      <c r="F45" s="94"/>
    </row>
  </sheetData>
  <sheetProtection/>
  <mergeCells count="4">
    <mergeCell ref="D23:F23"/>
    <mergeCell ref="D1:F1"/>
    <mergeCell ref="A43:F43"/>
    <mergeCell ref="A45:F45"/>
  </mergeCells>
  <printOptions gridLines="1" headings="1" horizontalCentered="1" verticalCentered="1"/>
  <pageMargins left="0.34" right="0.34" top="0.75" bottom="0.75" header="0.3" footer="0.3"/>
  <pageSetup fitToHeight="1" fitToWidth="1" horizontalDpi="600" verticalDpi="600" orientation="portrait" scale="89"/>
  <headerFooter>
    <oddFooter>&amp;L&amp;G</oddFooter>
  </headerFooter>
  <legacyDrawingHF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P41"/>
  <sheetViews>
    <sheetView zoomScalePageLayoutView="0" workbookViewId="0" topLeftCell="A1">
      <selection activeCell="B2" sqref="B2"/>
    </sheetView>
  </sheetViews>
  <sheetFormatPr defaultColWidth="8.8515625" defaultRowHeight="15"/>
  <cols>
    <col min="1" max="1" width="3.7109375" style="0" bestFit="1" customWidth="1"/>
    <col min="2" max="2" width="10.28125" style="0" customWidth="1"/>
    <col min="3" max="5" width="10.140625" style="0" bestFit="1" customWidth="1"/>
    <col min="6" max="6" width="11.421875" style="0" bestFit="1" customWidth="1"/>
    <col min="7" max="7" width="12.28125" style="0" bestFit="1" customWidth="1"/>
    <col min="8" max="8" width="10.7109375" style="0" bestFit="1" customWidth="1"/>
    <col min="9" max="13" width="10.421875" style="0" bestFit="1" customWidth="1"/>
    <col min="14" max="16" width="8.00390625" style="0" bestFit="1" customWidth="1"/>
  </cols>
  <sheetData>
    <row r="1" ht="15.75" thickBot="1">
      <c r="B1" t="s">
        <v>118</v>
      </c>
    </row>
    <row r="2" spans="1:13" ht="15">
      <c r="A2" s="50"/>
      <c r="B2" s="51"/>
      <c r="C2" s="98" t="s">
        <v>93</v>
      </c>
      <c r="D2" s="98"/>
      <c r="E2" s="98"/>
      <c r="F2" s="98"/>
      <c r="G2" s="98"/>
      <c r="H2" s="98"/>
      <c r="I2" s="98"/>
      <c r="J2" s="98"/>
      <c r="K2" s="98"/>
      <c r="L2" s="98"/>
      <c r="M2" s="99"/>
    </row>
    <row r="3" spans="1:16" ht="15">
      <c r="A3" s="52"/>
      <c r="B3" s="9"/>
      <c r="C3" s="46">
        <f>D3-0.02</f>
        <v>-0.0001000000000000098</v>
      </c>
      <c r="D3" s="46">
        <f>E3-0.02</f>
        <v>0.01989999999999999</v>
      </c>
      <c r="E3" s="46">
        <f>F3-0.02</f>
        <v>0.03989999999999999</v>
      </c>
      <c r="F3" s="46">
        <f>G3-0.02</f>
        <v>0.059899999999999995</v>
      </c>
      <c r="G3" s="46">
        <f>H3-(0.02+0.0001)</f>
        <v>0.0799</v>
      </c>
      <c r="H3" s="47">
        <f>Assumptions!B10</f>
        <v>0.1</v>
      </c>
      <c r="I3" s="48">
        <f>H3+0.02</f>
        <v>0.12000000000000001</v>
      </c>
      <c r="J3" s="48">
        <f>I3+0.02</f>
        <v>0.14</v>
      </c>
      <c r="K3" s="48">
        <f>J3+0.02</f>
        <v>0.16</v>
      </c>
      <c r="L3" s="48">
        <f>K3+0.02</f>
        <v>0.18</v>
      </c>
      <c r="M3" s="53">
        <f>L3+0.02</f>
        <v>0.19999999999999998</v>
      </c>
      <c r="N3" s="37"/>
      <c r="O3" s="37"/>
      <c r="P3" s="37"/>
    </row>
    <row r="4" spans="1:13" ht="15">
      <c r="A4" s="100" t="s">
        <v>94</v>
      </c>
      <c r="B4" s="13">
        <f>B5-0.5</f>
        <v>-1</v>
      </c>
      <c r="C4" s="54">
        <f>IF(C3&lt;0,0,('Cost Analysis'!$E$19-'Cost Analysis'!$E$5-'Cost Analysis'!$E$4)+('Cost Analysis'!$D$5*$B$4)+((Assumptions!$B$5/'Sensitivity Analysis'!C3)*'Cost Analysis'!$C$4))</f>
        <v>0</v>
      </c>
      <c r="D4" s="54">
        <f>IF(D3&lt;0,0,('Cost Analysis'!$E$19-'Cost Analysis'!$E$5-'Cost Analysis'!$E$4)+('Cost Analysis'!$D$5*$B$4)+((Assumptions!$B$5/'Sensitivity Analysis'!D3)*'Cost Analysis'!$C$4))</f>
        <v>12507.037256281412</v>
      </c>
      <c r="E4" s="54">
        <f>IF(E3&lt;0,0,('Cost Analysis'!$E$19-'Cost Analysis'!$E$5-'Cost Analysis'!$E$4)+('Cost Analysis'!$D$5*$B$4)+((Assumptions!$B$5/'Sensitivity Analysis'!E3)*'Cost Analysis'!$C$4))</f>
        <v>7469.317328320803</v>
      </c>
      <c r="F4" s="54">
        <f>IF(F3&lt;0,0,('Cost Analysis'!$E$19-'Cost Analysis'!$E$5-'Cost Analysis'!$E$4)+('Cost Analysis'!$D$5*$B$4)+((Assumptions!$B$5/'Sensitivity Analysis'!F3)*'Cost Analysis'!$C$4))</f>
        <v>5795.684163606011</v>
      </c>
      <c r="G4" s="54">
        <f>IF(G3&lt;0,0,('Cost Analysis'!$E$19-'Cost Analysis'!$E$5-'Cost Analysis'!$E$4)+('Cost Analysis'!$D$5*$B$4)+((Assumptions!$B$5/'Sensitivity Analysis'!G3)*'Cost Analysis'!$C$4))</f>
        <v>4959.914911138924</v>
      </c>
      <c r="H4" s="43">
        <f>'Cost Analysis'!$E$19-'Cost Analysis'!$E$5+(B4*'Cost Analysis'!$D$5)</f>
        <v>4456.786</v>
      </c>
      <c r="I4" s="54">
        <f>(('Cost Analysis'!$E$19-'Cost Analysis'!$E$5-'Cost Analysis'!$E$4)+('Cost Analysis'!$D$5*$B$4)+((Assumptions!$B$5/'Sensitivity Analysis'!I3)*'Cost Analysis'!$C$4))</f>
        <v>4123.452666666667</v>
      </c>
      <c r="J4" s="54">
        <f>(('Cost Analysis'!$E$19-'Cost Analysis'!$E$5-'Cost Analysis'!$E$4)+('Cost Analysis'!$D$5*$B$4)+((Assumptions!$B$5/'Sensitivity Analysis'!J3)*'Cost Analysis'!$C$4))</f>
        <v>3885.357428571429</v>
      </c>
      <c r="K4" s="54">
        <f>(('Cost Analysis'!$E$19-'Cost Analysis'!$E$5-'Cost Analysis'!$E$4)+('Cost Analysis'!$D$5*$B$4)+((Assumptions!$B$5/'Sensitivity Analysis'!K3)*'Cost Analysis'!$C$4))</f>
        <v>3706.7860000000005</v>
      </c>
      <c r="L4" s="54">
        <f>(('Cost Analysis'!$E$19-'Cost Analysis'!$E$5-'Cost Analysis'!$E$4)+('Cost Analysis'!$D$5*$B$4)+((Assumptions!$B$5/'Sensitivity Analysis'!L3)*'Cost Analysis'!$C$4))</f>
        <v>3567.8971111111114</v>
      </c>
      <c r="M4" s="55">
        <f>(('Cost Analysis'!$E$19-'Cost Analysis'!$E$5-'Cost Analysis'!$E$4)+('Cost Analysis'!$D$5*$B$4)+((Assumptions!$B$5/'Sensitivity Analysis'!M3)*'Cost Analysis'!$C$4))</f>
        <v>3456.7860000000005</v>
      </c>
    </row>
    <row r="5" spans="1:13" ht="15">
      <c r="A5" s="100"/>
      <c r="B5" s="13">
        <f>B6-0.5</f>
        <v>-0.5</v>
      </c>
      <c r="C5" s="54">
        <f>IF(C3&lt;0,0,('Cost Analysis'!$E$19-'Cost Analysis'!$E$5-'Cost Analysis'!$E$4)+('Cost Analysis'!$D$5*$B$5)+((Assumptions!$B$5/'Sensitivity Analysis'!C3)*'Cost Analysis'!$C$4))</f>
        <v>0</v>
      </c>
      <c r="D5" s="54">
        <f>IF(D3&lt;0,0,('Cost Analysis'!$E$19-'Cost Analysis'!$E$5-'Cost Analysis'!$E$4)+('Cost Analysis'!$D$5*$B$5)+((Assumptions!$B$5/'Sensitivity Analysis'!D3)*'Cost Analysis'!$C$4))</f>
        <v>12590.370589614746</v>
      </c>
      <c r="E5" s="54">
        <f>IF(E3&lt;0,0,('Cost Analysis'!$E$19-'Cost Analysis'!$E$5-'Cost Analysis'!$E$4)+('Cost Analysis'!$D$5*$B$5)+((Assumptions!$B$5/'Sensitivity Analysis'!E3)*'Cost Analysis'!$C$4))</f>
        <v>7552.650661654137</v>
      </c>
      <c r="F5" s="54">
        <f>IF(F3&lt;0,0,('Cost Analysis'!$E$19-'Cost Analysis'!$E$5-'Cost Analysis'!$E$4)+('Cost Analysis'!$D$5*$B$5)+((Assumptions!$B$5/'Sensitivity Analysis'!F3)*'Cost Analysis'!$C$4))</f>
        <v>5879.017496939344</v>
      </c>
      <c r="G5" s="54">
        <f>IF(G3&lt;0,0,('Cost Analysis'!$E$19-'Cost Analysis'!$E$5-'Cost Analysis'!$E$4)+('Cost Analysis'!$D$5*$B$5)+((Assumptions!$B$5/'Sensitivity Analysis'!G3)*'Cost Analysis'!$C$4))</f>
        <v>5043.248244472257</v>
      </c>
      <c r="H5" s="43">
        <f>('Cost Analysis'!$E$19-'Cost Analysis'!$E$5+(B5*'Cost Analysis'!$D$5))</f>
        <v>4540.119333333334</v>
      </c>
      <c r="I5" s="54">
        <f>(('Cost Analysis'!$E$19-'Cost Analysis'!$E$5-'Cost Analysis'!$E$4)+('Cost Analysis'!$D$5*$B$5)+((Assumptions!$B$5/'Sensitivity Analysis'!I3)*'Cost Analysis'!$C$4))</f>
        <v>4206.786</v>
      </c>
      <c r="J5" s="54">
        <f>(('Cost Analysis'!$E$19-'Cost Analysis'!$E$5-'Cost Analysis'!$E$4)+('Cost Analysis'!$D$5*$B$5)+((Assumptions!$B$5/'Sensitivity Analysis'!J3)*'Cost Analysis'!$C$4))</f>
        <v>3968.690761904762</v>
      </c>
      <c r="K5" s="54">
        <f>(('Cost Analysis'!$E$19-'Cost Analysis'!$E$5-'Cost Analysis'!$E$4)+('Cost Analysis'!$D$5*$B$5)+((Assumptions!$B$5/'Sensitivity Analysis'!K3)*'Cost Analysis'!$C$4))</f>
        <v>3790.1193333333335</v>
      </c>
      <c r="L5" s="54">
        <f>(('Cost Analysis'!$E$19-'Cost Analysis'!$E$5-'Cost Analysis'!$E$4)+('Cost Analysis'!$D$5*$B$5)+((Assumptions!$B$5/'Sensitivity Analysis'!L3)*'Cost Analysis'!$C$4))</f>
        <v>3651.2304444444444</v>
      </c>
      <c r="M5" s="55">
        <f>(('Cost Analysis'!$E$19-'Cost Analysis'!$E$5-'Cost Analysis'!$E$4)+('Cost Analysis'!$D$5*$B$5)+((Assumptions!$B$5/'Sensitivity Analysis'!M3)*'Cost Analysis'!$C$4))</f>
        <v>3540.1193333333335</v>
      </c>
    </row>
    <row r="6" spans="1:13" ht="15">
      <c r="A6" s="100"/>
      <c r="B6" s="13">
        <f>B7-0.5</f>
        <v>0</v>
      </c>
      <c r="C6" s="54">
        <f>IF(C3&lt;0,0,('Cost Analysis'!$E$19-'Cost Analysis'!$E$5-'Cost Analysis'!$E$4)+('Cost Analysis'!$D$5*$B$6)+((Assumptions!$B$5/'Sensitivity Analysis'!C3)*'Cost Analysis'!$C$4))</f>
        <v>0</v>
      </c>
      <c r="D6" s="54">
        <f>IF(D3&lt;0,0,('Cost Analysis'!$E$19-'Cost Analysis'!$E$5-'Cost Analysis'!$E$4)+('Cost Analysis'!$D$5*$B$6)+((Assumptions!$B$5/'Sensitivity Analysis'!D3)*'Cost Analysis'!$C$4))</f>
        <v>12673.70392294808</v>
      </c>
      <c r="E6" s="54">
        <f>IF($E$3&lt;0,0,('Cost Analysis'!$E$19-'Cost Analysis'!$E$5-'Cost Analysis'!$E$4)+('Cost Analysis'!$D$5*$B$6)+((Assumptions!$B$5/'Sensitivity Analysis'!E3)*'Cost Analysis'!$C$4))</f>
        <v>7635.98399498747</v>
      </c>
      <c r="F6" s="54">
        <f>IF(F3&lt;0,0,('Cost Analysis'!$E$19-'Cost Analysis'!$E$5-'Cost Analysis'!$E$4)+('Cost Analysis'!$D$5*$B$6)+((Assumptions!$B$5/'Sensitivity Analysis'!F3)*'Cost Analysis'!$C$4))</f>
        <v>5962.350830272677</v>
      </c>
      <c r="G6" s="54">
        <f>IF(G3&lt;0,0,('Cost Analysis'!$E$19-'Cost Analysis'!$E$5-'Cost Analysis'!$E$4)+('Cost Analysis'!$D$5*$B$6)+((Assumptions!$B$5/'Sensitivity Analysis'!G3)*'Cost Analysis'!$C$4))</f>
        <v>5126.581577805591</v>
      </c>
      <c r="H6" s="43">
        <f>IF(B6&lt;0,0,'Cost Analysis'!$E$19-'Cost Analysis'!$E$5+(B6*'Cost Analysis'!$D$5))</f>
        <v>4623.452666666667</v>
      </c>
      <c r="I6" s="54">
        <f>(('Cost Analysis'!$E$19-'Cost Analysis'!$E$5-'Cost Analysis'!$E$4)+('Cost Analysis'!$D$5*$B$6)+((Assumptions!$B$5/'Sensitivity Analysis'!I3)*'Cost Analysis'!$C$4))</f>
        <v>4290.119333333334</v>
      </c>
      <c r="J6" s="54">
        <f>(('Cost Analysis'!$E$19-'Cost Analysis'!$E$5-'Cost Analysis'!$E$4)+('Cost Analysis'!$D$5*$B$6)+((Assumptions!$B$5/'Sensitivity Analysis'!J3)*'Cost Analysis'!$C$4))</f>
        <v>4052.0240952380955</v>
      </c>
      <c r="K6" s="54">
        <f>(('Cost Analysis'!$E$19-'Cost Analysis'!$E$5-'Cost Analysis'!$E$4)+('Cost Analysis'!$D$5*$B$6)+((Assumptions!$B$5/'Sensitivity Analysis'!K3)*'Cost Analysis'!$C$4))</f>
        <v>3873.452666666667</v>
      </c>
      <c r="L6" s="54">
        <f>(('Cost Analysis'!$E$19-'Cost Analysis'!$E$5-'Cost Analysis'!$E$4)+('Cost Analysis'!$D$5*$B$6)+((Assumptions!$B$5/'Sensitivity Analysis'!L3)*'Cost Analysis'!$C$4))</f>
        <v>3734.5637777777783</v>
      </c>
      <c r="M6" s="55">
        <f>(('Cost Analysis'!$E$19-'Cost Analysis'!$E$5-'Cost Analysis'!$E$4)+('Cost Analysis'!$D$5*$B$6)+((Assumptions!$B$5/'Sensitivity Analysis'!M3)*'Cost Analysis'!$C$4))</f>
        <v>3623.452666666667</v>
      </c>
    </row>
    <row r="7" spans="1:13" ht="15">
      <c r="A7" s="100"/>
      <c r="B7" s="13">
        <f>B8-0.5</f>
        <v>0.5</v>
      </c>
      <c r="C7" s="54">
        <f>IF(C3&lt;0,0,('Cost Analysis'!$E$19-'Cost Analysis'!$E$5-'Cost Analysis'!$E$4)+('Cost Analysis'!$D$5*$B$7)+((Assumptions!$B$5/'Sensitivity Analysis'!C3)*'Cost Analysis'!$C$4))</f>
        <v>0</v>
      </c>
      <c r="D7" s="54">
        <f>IF(D3&lt;0,0,('Cost Analysis'!$E$19-'Cost Analysis'!$E$5-'Cost Analysis'!$E$4)+('Cost Analysis'!$D$5*$B$7)+((Assumptions!$B$5/'Sensitivity Analysis'!D3)*'Cost Analysis'!$C$4))</f>
        <v>12757.037256281412</v>
      </c>
      <c r="E7" s="54">
        <f>IF($E$3&lt;0,0,('Cost Analysis'!$E$19-'Cost Analysis'!$E$5-'Cost Analysis'!$E$4)+('Cost Analysis'!$D$5*$B$7)+((Assumptions!$B$5/'Sensitivity Analysis'!E3)*'Cost Analysis'!$C$4))</f>
        <v>7719.317328320803</v>
      </c>
      <c r="F7" s="54">
        <f>IF(F3&lt;0,0,('Cost Analysis'!$E$19-'Cost Analysis'!$E$5-'Cost Analysis'!$E$4)+('Cost Analysis'!$D$5*$B$7)+((Assumptions!$B$5/'Sensitivity Analysis'!F3)*'Cost Analysis'!$C$4))</f>
        <v>6045.684163606011</v>
      </c>
      <c r="G7" s="54">
        <f>IF(G3&lt;0,0,('Cost Analysis'!$E$19-'Cost Analysis'!$E$5-'Cost Analysis'!$E$4)+('Cost Analysis'!$D$5*$B$7)+((Assumptions!$B$5/'Sensitivity Analysis'!G3)*'Cost Analysis'!$C$4))</f>
        <v>5209.914911138924</v>
      </c>
      <c r="H7" s="43">
        <f>IF(B7&lt;0,0,'Cost Analysis'!$E$19-'Cost Analysis'!$E$5+(B7*'Cost Analysis'!$D$5))</f>
        <v>4706.786</v>
      </c>
      <c r="I7" s="54">
        <f>(('Cost Analysis'!$E$19-'Cost Analysis'!$E$5-'Cost Analysis'!$E$4)+('Cost Analysis'!$D$5*$B$7)+((Assumptions!$B$5/'Sensitivity Analysis'!I3)*'Cost Analysis'!$C$4))</f>
        <v>4373.452666666667</v>
      </c>
      <c r="J7" s="54">
        <f>(('Cost Analysis'!$E$19-'Cost Analysis'!$E$5-'Cost Analysis'!$E$4)+('Cost Analysis'!$D$5*$B$7)+((Assumptions!$B$5/'Sensitivity Analysis'!J3)*'Cost Analysis'!$C$4))</f>
        <v>4135.357428571429</v>
      </c>
      <c r="K7" s="54">
        <f>(('Cost Analysis'!$E$19-'Cost Analysis'!$E$5-'Cost Analysis'!$E$4)+('Cost Analysis'!$D$5*$B$7)+((Assumptions!$B$5/'Sensitivity Analysis'!K3)*'Cost Analysis'!$C$4))</f>
        <v>3956.7860000000005</v>
      </c>
      <c r="L7" s="54">
        <f>(('Cost Analysis'!$E$19-'Cost Analysis'!$E$5-'Cost Analysis'!$E$4)+('Cost Analysis'!$D$5*$B$7)+((Assumptions!$B$5/'Sensitivity Analysis'!L3)*'Cost Analysis'!$C$4))</f>
        <v>3817.8971111111114</v>
      </c>
      <c r="M7" s="55">
        <f>(('Cost Analysis'!$E$19-'Cost Analysis'!$E$5-'Cost Analysis'!$E$4)+('Cost Analysis'!$D$5*$B$7)+((Assumptions!$B$5/'Sensitivity Analysis'!M3)*'Cost Analysis'!$C$4))</f>
        <v>3706.7860000000005</v>
      </c>
    </row>
    <row r="8" spans="1:13" ht="15">
      <c r="A8" s="100"/>
      <c r="B8" s="13">
        <f>B9-0.5</f>
        <v>1</v>
      </c>
      <c r="C8" s="54">
        <f>IF(C3&lt;0,0,('Cost Analysis'!$E$19-'Cost Analysis'!$E$5-'Cost Analysis'!$E$4)+('Cost Analysis'!$D$5*$B$8)+((Assumptions!$B$5/'Sensitivity Analysis'!C3)*'Cost Analysis'!$C$4))</f>
        <v>0</v>
      </c>
      <c r="D8" s="54">
        <f>IF(D3&lt;0,0,('Cost Analysis'!$E$19-'Cost Analysis'!$E$5-'Cost Analysis'!$E$4)+('Cost Analysis'!$D$5*$B$8)+((Assumptions!$B$5/'Sensitivity Analysis'!D3)*'Cost Analysis'!$C$4))</f>
        <v>12840.370589614746</v>
      </c>
      <c r="E8" s="54">
        <f>IF($E$3&lt;0,0,('Cost Analysis'!$E$19-'Cost Analysis'!$E$5-'Cost Analysis'!$E$4)+('Cost Analysis'!$D$5*$B$8)+((Assumptions!$B$5/'Sensitivity Analysis'!E3)*'Cost Analysis'!$C$4))</f>
        <v>7802.650661654137</v>
      </c>
      <c r="F8" s="54">
        <f>IF(F3&lt;0,0,('Cost Analysis'!$E$19-'Cost Analysis'!$E$5-'Cost Analysis'!$E$4)+('Cost Analysis'!$D$5*$B$8)+((Assumptions!$B$5/'Sensitivity Analysis'!F3)*'Cost Analysis'!$C$4))</f>
        <v>6129.017496939344</v>
      </c>
      <c r="G8" s="54">
        <f>IF(G3&lt;0,0,('Cost Analysis'!$E$19-'Cost Analysis'!$E$5-'Cost Analysis'!$E$4)+('Cost Analysis'!$D$5*$B$8)+((Assumptions!$B$5/'Sensitivity Analysis'!G3)*'Cost Analysis'!$C$4))</f>
        <v>5293.248244472257</v>
      </c>
      <c r="H8" s="43">
        <f>IF($B$8&lt;0,0,'Cost Analysis'!$E$19-'Cost Analysis'!$E$5+($B$8*'Cost Analysis'!$D$5))</f>
        <v>4790.119333333334</v>
      </c>
      <c r="I8" s="54">
        <f>(('Cost Analysis'!$E$19-'Cost Analysis'!$E$5-'Cost Analysis'!$E$4)+('Cost Analysis'!$D$5*$B$8)+((Assumptions!$B$5/'Sensitivity Analysis'!I3)*'Cost Analysis'!$C$4))</f>
        <v>4456.786</v>
      </c>
      <c r="J8" s="54">
        <f>(('Cost Analysis'!$E$19-'Cost Analysis'!$E$5-'Cost Analysis'!$E$4)+('Cost Analysis'!$D$5*$B$8)+((Assumptions!$B$5/'Sensitivity Analysis'!J3)*'Cost Analysis'!$C$4))</f>
        <v>4218.6907619047615</v>
      </c>
      <c r="K8" s="54">
        <f>(('Cost Analysis'!$E$19-'Cost Analysis'!$E$5-'Cost Analysis'!$E$4)+('Cost Analysis'!$D$5*$B$8)+((Assumptions!$B$5/'Sensitivity Analysis'!K3)*'Cost Analysis'!$C$4))</f>
        <v>4040.1193333333335</v>
      </c>
      <c r="L8" s="54">
        <f>(('Cost Analysis'!$E$19-'Cost Analysis'!$E$5-'Cost Analysis'!$E$4)+('Cost Analysis'!$D$5*$B$8)+((Assumptions!$B$5/'Sensitivity Analysis'!L3)*'Cost Analysis'!$C$4))</f>
        <v>3901.2304444444444</v>
      </c>
      <c r="M8" s="55">
        <f>(('Cost Analysis'!$E$19-'Cost Analysis'!$E$5-'Cost Analysis'!$E$4)+('Cost Analysis'!$D$5*$B$8)+((Assumptions!$B$5/'Sensitivity Analysis'!M3)*'Cost Analysis'!$C$4))</f>
        <v>3790.1193333333335</v>
      </c>
    </row>
    <row r="9" spans="1:13" ht="15">
      <c r="A9" s="100"/>
      <c r="B9" s="49">
        <f>'Cost Analysis'!C5</f>
        <v>1.5</v>
      </c>
      <c r="C9" s="42">
        <f>IF(C3&lt;0,0,'Cost Analysis'!$E$19-'Cost Analysis'!$E$4+((Assumptions!$B5/C3)*Assumptions!$E$12))</f>
        <v>0</v>
      </c>
      <c r="D9" s="42">
        <f>IF(D3&lt;0,0,'Cost Analysis'!$E$19-'Cost Analysis'!$E$4+((Assumptions!$B5/D3)*Assumptions!$E$12))</f>
        <v>12923.70392294808</v>
      </c>
      <c r="E9" s="42">
        <f>IF(E3&lt;0,0,'Cost Analysis'!$E$19-'Cost Analysis'!$E$4+((Assumptions!$B5/E3)*Assumptions!$E$12))</f>
        <v>7885.98399498747</v>
      </c>
      <c r="F9" s="42">
        <f>IF(F3&lt;0,0,'Cost Analysis'!$E$19-'Cost Analysis'!$E$4+((Assumptions!$B5/F3)*Assumptions!$E$12))</f>
        <v>6212.350830272677</v>
      </c>
      <c r="G9" s="42">
        <f>IF(G3&lt;0,0,'Cost Analysis'!$E$19-'Cost Analysis'!$E$4+((Assumptions!$B5/G3)*Assumptions!$E$12))</f>
        <v>5376.581577805591</v>
      </c>
      <c r="H9" s="44">
        <f>'Cost Analysis'!E19</f>
        <v>4873.452666666667</v>
      </c>
      <c r="I9" s="42">
        <f>'Cost Analysis'!$E$19-'Cost Analysis'!$E$4+((Assumptions!$B5/I3)*Assumptions!$E$12)</f>
        <v>4540.119333333334</v>
      </c>
      <c r="J9" s="42">
        <f>'Cost Analysis'!$E$19-'Cost Analysis'!$E$4+((Assumptions!$B5/J3)*Assumptions!$E$12)</f>
        <v>4302.0240952380955</v>
      </c>
      <c r="K9" s="42">
        <f>'Cost Analysis'!$E$19-'Cost Analysis'!$E$4+((Assumptions!$B5/K3)*Assumptions!$E$12)</f>
        <v>4123.452666666667</v>
      </c>
      <c r="L9" s="42">
        <f>'Cost Analysis'!$E$19-'Cost Analysis'!$E$4+((Assumptions!$B5/L3)*Assumptions!$E$12)</f>
        <v>3984.5637777777783</v>
      </c>
      <c r="M9" s="56">
        <f>'Cost Analysis'!$E$19-'Cost Analysis'!$E$4+((Assumptions!$B5/M3)*Assumptions!$E$12)</f>
        <v>3873.452666666667</v>
      </c>
    </row>
    <row r="10" spans="1:13" ht="15">
      <c r="A10" s="100"/>
      <c r="B10" s="13">
        <f>B9+0.5</f>
        <v>2</v>
      </c>
      <c r="C10" s="54">
        <f>IF(C3&lt;0,0,('Cost Analysis'!$E$19-'Cost Analysis'!$E$5-'Cost Analysis'!$E$4)+('Cost Analysis'!$D$5*$B$10)+((Assumptions!$B$5/'Sensitivity Analysis'!C3)*'Cost Analysis'!$C$4))</f>
        <v>0</v>
      </c>
      <c r="D10" s="54">
        <f>IF(D3&lt;0,0,('Cost Analysis'!$E$19-'Cost Analysis'!$E$5-'Cost Analysis'!$E$4)+('Cost Analysis'!$D$5*$B$10)+((Assumptions!$B$5/'Sensitivity Analysis'!D3)*'Cost Analysis'!$C$4))</f>
        <v>13007.037256281412</v>
      </c>
      <c r="E10" s="54">
        <f>IF(E3&lt;0,0,('Cost Analysis'!$E$19-'Cost Analysis'!$E$5-'Cost Analysis'!$E$4)+('Cost Analysis'!$D$5*$B$10)+((Assumptions!$B$5/'Sensitivity Analysis'!E3)*'Cost Analysis'!$C$4))</f>
        <v>7969.317328320803</v>
      </c>
      <c r="F10" s="54">
        <f>IF(F3&lt;0,0,('Cost Analysis'!$E$19-'Cost Analysis'!$E$5-'Cost Analysis'!$E$4)+('Cost Analysis'!$D$5*$B$10)+((Assumptions!$B$5/'Sensitivity Analysis'!F3)*'Cost Analysis'!$C$4))</f>
        <v>6295.684163606011</v>
      </c>
      <c r="G10" s="54">
        <f>IF(G3&lt;0,0,('Cost Analysis'!$E$19-'Cost Analysis'!$E$5-'Cost Analysis'!$E$4)+('Cost Analysis'!$D$5*$B$10)+((Assumptions!$B$5/'Sensitivity Analysis'!G3)*'Cost Analysis'!$C$4))</f>
        <v>5459.914911138924</v>
      </c>
      <c r="H10" s="43">
        <f>'Cost Analysis'!$E$19-'Cost Analysis'!$E$5+(B10*'Cost Analysis'!$D$5)</f>
        <v>4956.786</v>
      </c>
      <c r="I10" s="54">
        <f>('Cost Analysis'!$E$19-'Cost Analysis'!$E$5-'Cost Analysis'!$E$4)+('Cost Analysis'!$D$5*$B$10)+((Assumptions!$B$5/I3)*'Cost Analysis'!$C$4)</f>
        <v>4623.452666666667</v>
      </c>
      <c r="J10" s="54">
        <f>(('Cost Analysis'!$E$19-'Cost Analysis'!$E$5-'Cost Analysis'!$E$4)+('Cost Analysis'!$D$5*$B$10)+((Assumptions!$B$5/J3)*'Cost Analysis'!$C$4))</f>
        <v>4385.357428571429</v>
      </c>
      <c r="K10" s="54">
        <f>(('Cost Analysis'!$E$19-'Cost Analysis'!$E$5-'Cost Analysis'!$E$4)+('Cost Analysis'!$D$5*$B$10)+((Assumptions!$B$5/K3)*'Cost Analysis'!$C$4))</f>
        <v>4206.786</v>
      </c>
      <c r="L10" s="54">
        <f>(('Cost Analysis'!$E$19-'Cost Analysis'!$E$5-'Cost Analysis'!$E$4)+('Cost Analysis'!$D$5*$B$10)+((Assumptions!$B$5/L3)*'Cost Analysis'!$C$4))</f>
        <v>4067.8971111111114</v>
      </c>
      <c r="M10" s="55">
        <f>(('Cost Analysis'!$E$19-'Cost Analysis'!$E$5-'Cost Analysis'!$E$4)+('Cost Analysis'!$D$5*$B$10)+((Assumptions!$B$5/M3)*'Cost Analysis'!$C$4))</f>
        <v>3956.7860000000005</v>
      </c>
    </row>
    <row r="11" spans="1:13" ht="15">
      <c r="A11" s="100"/>
      <c r="B11" s="13">
        <f>B10+0.5</f>
        <v>2.5</v>
      </c>
      <c r="C11" s="54">
        <f>IF(C3&lt;0,0,('Cost Analysis'!$E$19-'Cost Analysis'!$E$5-'Cost Analysis'!$E$4)+('Cost Analysis'!$D$5*$B$11)+((Assumptions!$B$5/'Sensitivity Analysis'!C3)*'Cost Analysis'!$C$4))</f>
        <v>0</v>
      </c>
      <c r="D11" s="54">
        <f>IF(D3&lt;0,0,('Cost Analysis'!$E$19-'Cost Analysis'!$E$5-'Cost Analysis'!$E$4)+('Cost Analysis'!$D$5*$B$11)+((Assumptions!$B$5/'Sensitivity Analysis'!D3)*'Cost Analysis'!$C$4))</f>
        <v>13090.370589614746</v>
      </c>
      <c r="E11" s="54">
        <f>IF(E3&lt;0,0,('Cost Analysis'!$E$19-'Cost Analysis'!$E$5-'Cost Analysis'!$E$4)+('Cost Analysis'!$D$5*$B$11)+((Assumptions!$B$5/'Sensitivity Analysis'!E3)*'Cost Analysis'!$C$4))</f>
        <v>8052.650661654137</v>
      </c>
      <c r="F11" s="54">
        <f>IF(F3&lt;0,0,('Cost Analysis'!$E$19-'Cost Analysis'!$E$5-'Cost Analysis'!$E$4)+('Cost Analysis'!$D$5*$B$11)+((Assumptions!$B$5/'Sensitivity Analysis'!F3)*'Cost Analysis'!$C$4))</f>
        <v>6379.017496939344</v>
      </c>
      <c r="G11" s="54">
        <f>IF(G3&lt;0,0,('Cost Analysis'!$E$19-'Cost Analysis'!$E$5-'Cost Analysis'!$E$4)+('Cost Analysis'!$D$5*$B$11)+((Assumptions!$B$5/'Sensitivity Analysis'!G3)*'Cost Analysis'!$C$4))</f>
        <v>5543.248244472257</v>
      </c>
      <c r="H11" s="43">
        <f>'Cost Analysis'!$E$19-'Cost Analysis'!$E$5+(B11*'Cost Analysis'!$D$5)</f>
        <v>5040.119333333334</v>
      </c>
      <c r="I11" s="54">
        <f>(('Cost Analysis'!$E$19-'Cost Analysis'!$E$5-'Cost Analysis'!$E$4)+('Cost Analysis'!$D$5*$B$11)+((Assumptions!$B$5/'Sensitivity Analysis'!I3)*'Cost Analysis'!$C$4))</f>
        <v>4706.786</v>
      </c>
      <c r="J11" s="54">
        <f>(('Cost Analysis'!$E$19-'Cost Analysis'!$E$5-'Cost Analysis'!$E$4)+('Cost Analysis'!$D$5*$B$11)+((Assumptions!$B$5/'Sensitivity Analysis'!J3)*'Cost Analysis'!$C$4))</f>
        <v>4468.6907619047615</v>
      </c>
      <c r="K11" s="54">
        <f>(('Cost Analysis'!$E$19-'Cost Analysis'!$E$5-'Cost Analysis'!$E$4)+('Cost Analysis'!$D$5*$B$11)+((Assumptions!$B$5/'Sensitivity Analysis'!K3)*'Cost Analysis'!$C$4))</f>
        <v>4290.119333333334</v>
      </c>
      <c r="L11" s="54">
        <f>(('Cost Analysis'!$E$19-'Cost Analysis'!$E$5-'Cost Analysis'!$E$4)+('Cost Analysis'!$D$5*$B$11)+((Assumptions!$B$5/'Sensitivity Analysis'!L3)*'Cost Analysis'!$C$4))</f>
        <v>4151.230444444444</v>
      </c>
      <c r="M11" s="55">
        <f>(('Cost Analysis'!$E$19-'Cost Analysis'!$E$5-'Cost Analysis'!$E$4)+('Cost Analysis'!$D$5*$B$11)+((Assumptions!$B$5/'Sensitivity Analysis'!M3)*'Cost Analysis'!$C$4))</f>
        <v>4040.1193333333335</v>
      </c>
    </row>
    <row r="12" spans="1:13" ht="15">
      <c r="A12" s="100"/>
      <c r="B12" s="13">
        <f>B11+0.5</f>
        <v>3</v>
      </c>
      <c r="C12" s="54">
        <f>IF(C3&lt;0,0,('Cost Analysis'!$E$19-'Cost Analysis'!$E$5-'Cost Analysis'!$E$4)+('Cost Analysis'!$D$5*$B$12)+((Assumptions!$B$5/'Sensitivity Analysis'!C3)*'Cost Analysis'!$C$4))</f>
        <v>0</v>
      </c>
      <c r="D12" s="54">
        <f>IF(D3&lt;0,0,('Cost Analysis'!$E$19-'Cost Analysis'!$E$5-'Cost Analysis'!$E$4)+('Cost Analysis'!$D$5*$B$12)+((Assumptions!$B$5/'Sensitivity Analysis'!D3)*'Cost Analysis'!$C$4))</f>
        <v>13173.70392294808</v>
      </c>
      <c r="E12" s="54">
        <f>IF(E3&lt;0,0,('Cost Analysis'!$E$19-'Cost Analysis'!$E$5-'Cost Analysis'!$E$4)+('Cost Analysis'!$D$5*$B$12)+((Assumptions!$B$5/'Sensitivity Analysis'!E3)*'Cost Analysis'!$C$4))</f>
        <v>8135.98399498747</v>
      </c>
      <c r="F12" s="54">
        <f>IF(F3&lt;0,0,('Cost Analysis'!$E$19-'Cost Analysis'!$E$5-'Cost Analysis'!$E$4)+('Cost Analysis'!$D$5*$B$12)+((Assumptions!$B$5/'Sensitivity Analysis'!F3)*'Cost Analysis'!$C$4))</f>
        <v>6462.350830272677</v>
      </c>
      <c r="G12" s="54">
        <f>IF(G3&lt;0,0,('Cost Analysis'!$E$19-'Cost Analysis'!$E$5-'Cost Analysis'!$E$4)+('Cost Analysis'!$D$5*$B$12)+((Assumptions!$B$5/'Sensitivity Analysis'!G3)*'Cost Analysis'!$C$4))</f>
        <v>5626.581577805591</v>
      </c>
      <c r="H12" s="43">
        <f>'Cost Analysis'!$E$19-'Cost Analysis'!$E$5+(B12*'Cost Analysis'!$D$5)</f>
        <v>5123.452666666667</v>
      </c>
      <c r="I12" s="54">
        <f>(('Cost Analysis'!$E$19-'Cost Analysis'!$E$5-'Cost Analysis'!$E$4)+('Cost Analysis'!$D$5*$B$12)+((Assumptions!$B$5/'Sensitivity Analysis'!I3)*'Cost Analysis'!$C$4))</f>
        <v>4790.119333333334</v>
      </c>
      <c r="J12" s="54">
        <f>('Cost Analysis'!$E$19-'Cost Analysis'!$E$5-'Cost Analysis'!$E$4)+('Cost Analysis'!$D$5*$B$12)+((Assumptions!$B$5/'Sensitivity Analysis'!J3)*'Cost Analysis'!$C$4)</f>
        <v>4552.0240952380955</v>
      </c>
      <c r="K12" s="54">
        <f>(('Cost Analysis'!$E$19-'Cost Analysis'!$E$5-'Cost Analysis'!$E$4)+('Cost Analysis'!$D$5*$B$12)+((Assumptions!$B$5/'Sensitivity Analysis'!K3)*'Cost Analysis'!$C$4))</f>
        <v>4373.452666666667</v>
      </c>
      <c r="L12" s="54">
        <f>(('Cost Analysis'!$E$19-'Cost Analysis'!$E$5-'Cost Analysis'!$E$4)+('Cost Analysis'!$D$5*$B$12)+((Assumptions!$B$5/'Sensitivity Analysis'!L3)*'Cost Analysis'!$C$4))</f>
        <v>4234.563777777778</v>
      </c>
      <c r="M12" s="55">
        <f>(('Cost Analysis'!$E$19-'Cost Analysis'!$E$5-'Cost Analysis'!$E$4)+('Cost Analysis'!$D$5*$B$12)+((Assumptions!$B$5/'Sensitivity Analysis'!M3)*'Cost Analysis'!$C$4))</f>
        <v>4123.452666666667</v>
      </c>
    </row>
    <row r="13" spans="1:13" ht="15">
      <c r="A13" s="100"/>
      <c r="B13" s="13">
        <f>B12+0.5</f>
        <v>3.5</v>
      </c>
      <c r="C13" s="54">
        <f>IF(C3&lt;0,0,('Cost Analysis'!$E$19-'Cost Analysis'!$E$5-'Cost Analysis'!$E$4)+('Cost Analysis'!$D$5*$B$13)+((Assumptions!$B$5/'Sensitivity Analysis'!C3)*'Cost Analysis'!$C$4))</f>
        <v>0</v>
      </c>
      <c r="D13" s="54">
        <f>IF(D3&lt;0,0,('Cost Analysis'!$E$19-'Cost Analysis'!$E$5-'Cost Analysis'!$E$4)+('Cost Analysis'!$D$5*$B$13)+((Assumptions!$B$5/'Sensitivity Analysis'!D3)*'Cost Analysis'!$C$4))</f>
        <v>13257.037256281412</v>
      </c>
      <c r="E13" s="54">
        <f>IF(E3&lt;0,0,('Cost Analysis'!$E$19-'Cost Analysis'!$E$5-'Cost Analysis'!$E$4)+('Cost Analysis'!$D$5*$B$13)+((Assumptions!$B$5/'Sensitivity Analysis'!E3)*'Cost Analysis'!$C$4))</f>
        <v>8219.317328320803</v>
      </c>
      <c r="F13" s="54">
        <f>IF(F3&lt;0,0,('Cost Analysis'!$E$19-'Cost Analysis'!$E$5-'Cost Analysis'!$E$4)+('Cost Analysis'!$D$5*$B$13)+((Assumptions!$B$5/'Sensitivity Analysis'!F3)*'Cost Analysis'!$C$4))</f>
        <v>6545.684163606011</v>
      </c>
      <c r="G13" s="54">
        <f>IF(G3&lt;0,0,('Cost Analysis'!$E$19-'Cost Analysis'!$E$5-'Cost Analysis'!$E$4)+('Cost Analysis'!$D$5*$B$13)+((Assumptions!$B$5/'Sensitivity Analysis'!G3)*'Cost Analysis'!$C$4))</f>
        <v>5709.914911138923</v>
      </c>
      <c r="H13" s="43">
        <f>'Cost Analysis'!$E$19-'Cost Analysis'!$E$5+(B13*'Cost Analysis'!$D$5)</f>
        <v>5206.786</v>
      </c>
      <c r="I13" s="54">
        <f>(('Cost Analysis'!$E$19-'Cost Analysis'!$E$5-'Cost Analysis'!$E$4)+('Cost Analysis'!$D$5*$B$13)+((Assumptions!$B$5/'Sensitivity Analysis'!I3)*'Cost Analysis'!$C$4))</f>
        <v>4873.452666666666</v>
      </c>
      <c r="J13" s="54">
        <f>(('Cost Analysis'!$E$19-'Cost Analysis'!$E$5-'Cost Analysis'!$E$4)+('Cost Analysis'!$D$5*$B$13)+((Assumptions!$B$5/'Sensitivity Analysis'!J3)*'Cost Analysis'!$C$4))</f>
        <v>4635.3574285714285</v>
      </c>
      <c r="K13" s="54">
        <f>(('Cost Analysis'!$E$19-'Cost Analysis'!$E$5-'Cost Analysis'!$E$4)+('Cost Analysis'!$D$5*$B$13)+((Assumptions!$B$5/'Sensitivity Analysis'!K3)*'Cost Analysis'!$C$4))</f>
        <v>4456.786</v>
      </c>
      <c r="L13" s="54">
        <f>(('Cost Analysis'!$E$19-'Cost Analysis'!$E$5-'Cost Analysis'!$E$4)+('Cost Analysis'!$D$5*$B$13)+((Assumptions!$B$5/'Sensitivity Analysis'!L3)*'Cost Analysis'!$C$4))</f>
        <v>4317.897111111111</v>
      </c>
      <c r="M13" s="55">
        <f>(('Cost Analysis'!$E$19-'Cost Analysis'!$E$5-'Cost Analysis'!$E$4)+('Cost Analysis'!$D$5*$B$13)+((Assumptions!$B$5/'Sensitivity Analysis'!M3)*'Cost Analysis'!$C$4))</f>
        <v>4206.786</v>
      </c>
    </row>
    <row r="14" spans="1:13" ht="15.75" thickBot="1">
      <c r="A14" s="101"/>
      <c r="B14" s="57">
        <f>B13+0.5</f>
        <v>4</v>
      </c>
      <c r="C14" s="58">
        <f>IF(C3&lt;0,0,('Cost Analysis'!$E$19-'Cost Analysis'!$E$5-'Cost Analysis'!$E$4)+('Cost Analysis'!$D$5*$B$14)+((Assumptions!$B$5/'Sensitivity Analysis'!C3)*'Cost Analysis'!$C$4))</f>
        <v>0</v>
      </c>
      <c r="D14" s="58">
        <f>IF(D3&lt;0,0,('Cost Analysis'!$E$19-'Cost Analysis'!$E$5-'Cost Analysis'!$E$4)+('Cost Analysis'!$D$5*$B$14)+((Assumptions!$B$5/'Sensitivity Analysis'!D3)*'Cost Analysis'!$C$4))</f>
        <v>13340.370589614746</v>
      </c>
      <c r="E14" s="58">
        <f>IF(E3&lt;0,0,('Cost Analysis'!$E$19-'Cost Analysis'!$E$5-'Cost Analysis'!$E$4)+('Cost Analysis'!$D$5*$B$14)+((Assumptions!$B$5/'Sensitivity Analysis'!E3)*'Cost Analysis'!$C$4))</f>
        <v>8302.650661654137</v>
      </c>
      <c r="F14" s="58">
        <f>IF(F3&lt;0,0,('Cost Analysis'!$E$19-'Cost Analysis'!$E$5-'Cost Analysis'!$E$4)+('Cost Analysis'!$D$5*$B$14)+((Assumptions!$B$5/'Sensitivity Analysis'!F3)*'Cost Analysis'!$C$4))</f>
        <v>6629.017496939344</v>
      </c>
      <c r="G14" s="58">
        <f>IF(G3&lt;0,0,('Cost Analysis'!$E$19-'Cost Analysis'!$E$5-'Cost Analysis'!$E$4)+('Cost Analysis'!$D$5*$B$14)+((Assumptions!$B$5/'Sensitivity Analysis'!G3)*'Cost Analysis'!$C$4))</f>
        <v>5793.248244472257</v>
      </c>
      <c r="H14" s="59">
        <f>'Cost Analysis'!$E$19-'Cost Analysis'!$E$5+(B14*'Cost Analysis'!$D$5)</f>
        <v>5290.119333333334</v>
      </c>
      <c r="I14" s="58">
        <f>(('Cost Analysis'!$E$19-'Cost Analysis'!$E$5-'Cost Analysis'!$E$4)+('Cost Analysis'!$D$5*$B$14)+((Assumptions!$B$5/'Sensitivity Analysis'!I3)*'Cost Analysis'!$C$4))</f>
        <v>4956.786</v>
      </c>
      <c r="J14" s="58">
        <f>(('Cost Analysis'!$E$19-'Cost Analysis'!$E$5-'Cost Analysis'!$E$4)+('Cost Analysis'!$D$5*$B$14)+((Assumptions!$B$5/'Sensitivity Analysis'!J3)*'Cost Analysis'!$C$4))</f>
        <v>4718.6907619047615</v>
      </c>
      <c r="K14" s="58">
        <f>(('Cost Analysis'!$E$19-'Cost Analysis'!$E$5-'Cost Analysis'!$E$4)+('Cost Analysis'!$D$5*$B$14)+((Assumptions!$B$5/'Sensitivity Analysis'!K3)*'Cost Analysis'!$C$4))</f>
        <v>4540.119333333334</v>
      </c>
      <c r="L14" s="58">
        <f>(('Cost Analysis'!$E$19-'Cost Analysis'!$E$5-'Cost Analysis'!$E$4)+('Cost Analysis'!$D$5*$B$14)+((Assumptions!$B$5/'Sensitivity Analysis'!L3)*'Cost Analysis'!$C$4))</f>
        <v>4401.230444444444</v>
      </c>
      <c r="M14" s="60">
        <f>(('Cost Analysis'!$E$19-'Cost Analysis'!$E$5-'Cost Analysis'!$E$4)+('Cost Analysis'!$D$5*$B$14)+((Assumptions!$B$5/'Sensitivity Analysis'!M3)*'Cost Analysis'!$C$4))</f>
        <v>4290.119333333334</v>
      </c>
    </row>
    <row r="16" spans="2:8" ht="66.75" customHeight="1">
      <c r="B16" s="94" t="s">
        <v>1</v>
      </c>
      <c r="C16" s="94"/>
      <c r="D16" s="94"/>
      <c r="E16" s="94"/>
      <c r="F16" s="94"/>
      <c r="G16" s="94"/>
      <c r="H16" s="94"/>
    </row>
    <row r="17" spans="2:8" ht="15">
      <c r="B17" s="84"/>
      <c r="C17" s="82"/>
      <c r="D17" s="83"/>
      <c r="E17" s="83"/>
      <c r="F17" s="83"/>
      <c r="G17" s="82"/>
      <c r="H17" s="82"/>
    </row>
    <row r="18" spans="2:8" ht="25.5" customHeight="1">
      <c r="B18" s="94" t="s">
        <v>2</v>
      </c>
      <c r="C18" s="94"/>
      <c r="D18" s="94"/>
      <c r="E18" s="94"/>
      <c r="F18" s="94"/>
      <c r="G18" s="94"/>
      <c r="H18" s="94"/>
    </row>
    <row r="20" spans="3:13" ht="15">
      <c r="C20" s="93"/>
      <c r="D20" s="93"/>
      <c r="E20" s="93"/>
      <c r="F20" s="93"/>
      <c r="G20" s="93"/>
      <c r="H20" s="93"/>
      <c r="I20" s="93"/>
      <c r="J20" s="93"/>
      <c r="K20" s="93"/>
      <c r="L20" s="93"/>
      <c r="M20" s="93"/>
    </row>
    <row r="21" spans="3:13" ht="15">
      <c r="C21" s="2"/>
      <c r="D21" s="2"/>
      <c r="E21" s="2"/>
      <c r="F21" s="2"/>
      <c r="G21" s="2"/>
      <c r="H21" s="2"/>
      <c r="I21" s="2"/>
      <c r="J21" s="2"/>
      <c r="K21" s="2"/>
      <c r="L21" s="2"/>
      <c r="M21" s="2"/>
    </row>
    <row r="22" spans="3:13" ht="15">
      <c r="C22" s="38"/>
      <c r="D22" s="38"/>
      <c r="E22" s="38"/>
      <c r="F22" s="38"/>
      <c r="G22" s="38"/>
      <c r="H22" s="41"/>
      <c r="I22" s="38"/>
      <c r="J22" s="38"/>
      <c r="K22" s="38"/>
      <c r="L22" s="38"/>
      <c r="M22" s="38"/>
    </row>
    <row r="39" spans="3:13" ht="15">
      <c r="C39" s="93"/>
      <c r="D39" s="93"/>
      <c r="E39" s="93"/>
      <c r="F39" s="93"/>
      <c r="G39" s="93"/>
      <c r="H39" s="93"/>
      <c r="I39" s="93"/>
      <c r="J39" s="93"/>
      <c r="K39" s="93"/>
      <c r="L39" s="93"/>
      <c r="M39" s="93"/>
    </row>
    <row r="41" ht="15">
      <c r="H41" s="3"/>
    </row>
  </sheetData>
  <sheetProtection/>
  <mergeCells count="6">
    <mergeCell ref="C2:M2"/>
    <mergeCell ref="C20:M20"/>
    <mergeCell ref="C39:M39"/>
    <mergeCell ref="A4:A14"/>
    <mergeCell ref="B16:H16"/>
    <mergeCell ref="B18:H18"/>
  </mergeCells>
  <printOptions/>
  <pageMargins left="0.7" right="0.7" top="0.75" bottom="0.75" header="0.3" footer="0.3"/>
  <pageSetup fitToHeight="1" fitToWidth="1" horizontalDpi="600" verticalDpi="600" orientation="landscape" scale="79"/>
  <headerFooter>
    <oddFooter>&amp;L&amp;G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AGNR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Matt Parker</cp:lastModifiedBy>
  <cp:lastPrinted>2011-07-20T13:37:08Z</cp:lastPrinted>
  <dcterms:created xsi:type="dcterms:W3CDTF">2011-05-03T15:27:26Z</dcterms:created>
  <dcterms:modified xsi:type="dcterms:W3CDTF">2015-10-05T19:16:15Z</dcterms:modified>
  <cp:category/>
  <cp:version/>
  <cp:contentType/>
  <cp:contentStatus/>
</cp:coreProperties>
</file>