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parke11\Documents\Economic Spreadsheets\"/>
    </mc:Choice>
  </mc:AlternateContent>
  <bookViews>
    <workbookView xWindow="0" yWindow="0" windowWidth="24000" windowHeight="11205"/>
  </bookViews>
  <sheets>
    <sheet name="Assumptions" sheetId="1" r:id="rId1"/>
    <sheet name="Bottom Prep and Capital Cost" sheetId="2" r:id="rId2"/>
    <sheet name="Yearly Enterprise Budget" sheetId="3" r:id="rId3"/>
    <sheet name="Yearly Cash Flow Analysis" sheetId="4" r:id="rId4"/>
    <sheet name="Sensitivity Analysis" sheetId="5" r:id="rId5"/>
  </sheets>
  <definedNames>
    <definedName name="_xlnm.Print_Area" localSheetId="2">'Yearly Enterprise Budget'!$A$1:$H$47</definedName>
  </definedNames>
  <calcPr calcId="152511"/>
</workbook>
</file>

<file path=xl/calcChain.xml><?xml version="1.0" encoding="utf-8"?>
<calcChain xmlns="http://schemas.openxmlformats.org/spreadsheetml/2006/main">
  <c r="E8" i="3" l="1"/>
  <c r="G20" i="1"/>
  <c r="C8" i="3"/>
  <c r="C4" i="5" s="1"/>
  <c r="F8" i="3"/>
  <c r="E9" i="3"/>
  <c r="B18" i="1"/>
  <c r="C9" i="3"/>
  <c r="C5" i="5" s="1"/>
  <c r="E5" i="5" s="1"/>
  <c r="F9" i="3"/>
  <c r="E16" i="2"/>
  <c r="I16" i="2"/>
  <c r="E17" i="2"/>
  <c r="I17" i="2"/>
  <c r="E18" i="2"/>
  <c r="I18" i="2"/>
  <c r="E19" i="2"/>
  <c r="I19" i="2"/>
  <c r="E20" i="2"/>
  <c r="I20" i="2"/>
  <c r="I26" i="2"/>
  <c r="G19" i="1"/>
  <c r="E21" i="2"/>
  <c r="E22" i="2"/>
  <c r="E23" i="2"/>
  <c r="E24" i="2"/>
  <c r="E25" i="2"/>
  <c r="E7" i="2"/>
  <c r="I7" i="2"/>
  <c r="E8" i="2"/>
  <c r="I8" i="2"/>
  <c r="E9" i="2"/>
  <c r="I9" i="2"/>
  <c r="E10" i="2"/>
  <c r="E11" i="2"/>
  <c r="E12" i="2"/>
  <c r="E6" i="2"/>
  <c r="I6" i="2"/>
  <c r="I13" i="2"/>
  <c r="E13" i="2"/>
  <c r="E26" i="2"/>
  <c r="E28" i="2"/>
  <c r="B9" i="1"/>
  <c r="B10" i="1"/>
  <c r="F22" i="3"/>
  <c r="F35" i="3"/>
  <c r="C17" i="3"/>
  <c r="F19" i="3"/>
  <c r="H19" i="3"/>
  <c r="C18" i="3"/>
  <c r="E18" i="3"/>
  <c r="F18" i="3"/>
  <c r="G18" i="3" s="1"/>
  <c r="F37" i="3"/>
  <c r="G37" i="3" s="1"/>
  <c r="H35" i="3"/>
  <c r="F33" i="3"/>
  <c r="H33" i="3" s="1"/>
  <c r="F20" i="3"/>
  <c r="E34" i="3"/>
  <c r="C4" i="4"/>
  <c r="E11" i="4"/>
  <c r="D4" i="3"/>
  <c r="H37" i="3"/>
  <c r="C34" i="3"/>
  <c r="F34" i="3" s="1"/>
  <c r="C27" i="3"/>
  <c r="E21" i="3"/>
  <c r="F21" i="3" s="1"/>
  <c r="E17" i="3"/>
  <c r="E15" i="3"/>
  <c r="D5" i="5"/>
  <c r="D4" i="5"/>
  <c r="G25" i="1"/>
  <c r="C15" i="3"/>
  <c r="F15" i="3"/>
  <c r="G15" i="3" s="1"/>
  <c r="G19" i="3"/>
  <c r="H20" i="3"/>
  <c r="F3" i="4"/>
  <c r="G21" i="1"/>
  <c r="G22" i="1"/>
  <c r="G23" i="1"/>
  <c r="G20" i="3"/>
  <c r="F17" i="3"/>
  <c r="G17" i="3" s="1"/>
  <c r="E16" i="4"/>
  <c r="E12" i="4"/>
  <c r="E8" i="4"/>
  <c r="E17" i="4"/>
  <c r="E13" i="4"/>
  <c r="E9" i="4"/>
  <c r="E7" i="4"/>
  <c r="E14" i="4"/>
  <c r="E10" i="4"/>
  <c r="E15" i="4"/>
  <c r="G35" i="3"/>
  <c r="G33" i="3"/>
  <c r="G24" i="1"/>
  <c r="C21" i="3"/>
  <c r="H17" i="3"/>
  <c r="F36" i="3"/>
  <c r="H15" i="3"/>
  <c r="H36" i="3"/>
  <c r="G36" i="3"/>
  <c r="B8" i="4"/>
  <c r="B7" i="4"/>
  <c r="B9" i="4"/>
  <c r="C7" i="4"/>
  <c r="D7" i="4"/>
  <c r="H26" i="3"/>
  <c r="G26" i="3"/>
  <c r="G25" i="3"/>
  <c r="H25" i="3"/>
  <c r="H24" i="3"/>
  <c r="G24" i="3"/>
  <c r="G23" i="3"/>
  <c r="H23" i="3"/>
  <c r="I28" i="2"/>
  <c r="F38" i="3"/>
  <c r="H38" i="3" s="1"/>
  <c r="G38" i="3"/>
  <c r="H21" i="3" l="1"/>
  <c r="G21" i="3"/>
  <c r="F27" i="3"/>
  <c r="G34" i="3"/>
  <c r="F39" i="3"/>
  <c r="H34" i="3"/>
  <c r="F11" i="3"/>
  <c r="H22" i="3"/>
  <c r="G22" i="3"/>
  <c r="E4" i="5"/>
  <c r="F4" i="5" s="1"/>
  <c r="B16" i="5" s="1"/>
  <c r="C6" i="5"/>
  <c r="E11" i="5" s="1"/>
  <c r="H18" i="3"/>
  <c r="B17" i="5" l="1"/>
  <c r="B15" i="5"/>
  <c r="D11" i="5"/>
  <c r="C11" i="5" s="1"/>
  <c r="F11" i="5"/>
  <c r="G11" i="5" s="1"/>
  <c r="H27" i="3"/>
  <c r="G27" i="3"/>
  <c r="B17" i="4"/>
  <c r="B14" i="4"/>
  <c r="B10" i="4"/>
  <c r="B11" i="4"/>
  <c r="B13" i="4"/>
  <c r="B15" i="4"/>
  <c r="B12" i="4"/>
  <c r="B16" i="4"/>
  <c r="H39" i="3"/>
  <c r="G39" i="3"/>
  <c r="F28" i="3"/>
  <c r="H28" i="3" l="1"/>
  <c r="G28" i="3"/>
  <c r="F29" i="3"/>
  <c r="B18" i="5"/>
  <c r="B14" i="5"/>
  <c r="B13" i="5" l="1"/>
  <c r="G14" i="5"/>
  <c r="F18" i="5"/>
  <c r="B19" i="5"/>
  <c r="G29" i="3"/>
  <c r="H29" i="3"/>
  <c r="F41" i="3"/>
  <c r="C13" i="5" l="1"/>
  <c r="F13" i="5"/>
  <c r="D13" i="5"/>
  <c r="G13" i="5"/>
  <c r="B12" i="5"/>
  <c r="E13" i="5"/>
  <c r="C10" i="4"/>
  <c r="C12" i="4"/>
  <c r="G41" i="3"/>
  <c r="C47" i="3" s="1"/>
  <c r="I23" i="3"/>
  <c r="I41" i="3"/>
  <c r="C14" i="4"/>
  <c r="I33" i="3"/>
  <c r="C9" i="4"/>
  <c r="C11" i="4"/>
  <c r="I26" i="3"/>
  <c r="C8" i="4"/>
  <c r="D8" i="4" s="1"/>
  <c r="I25" i="3"/>
  <c r="C13" i="4"/>
  <c r="I24" i="3"/>
  <c r="C17" i="4"/>
  <c r="C15" i="4"/>
  <c r="I16" i="3"/>
  <c r="I38" i="3"/>
  <c r="I36" i="3"/>
  <c r="I35" i="3"/>
  <c r="I37" i="3"/>
  <c r="I17" i="3"/>
  <c r="I18" i="3"/>
  <c r="C16" i="4"/>
  <c r="H41" i="3"/>
  <c r="C48" i="3" s="1"/>
  <c r="I21" i="3"/>
  <c r="I20" i="3"/>
  <c r="I34" i="3"/>
  <c r="I22" i="3"/>
  <c r="I19" i="3"/>
  <c r="I15" i="3"/>
  <c r="I27" i="3"/>
  <c r="G16" i="5"/>
  <c r="E16" i="5"/>
  <c r="F43" i="3"/>
  <c r="I39" i="3"/>
  <c r="D17" i="5"/>
  <c r="G15" i="5"/>
  <c r="D15" i="5"/>
  <c r="G17" i="5"/>
  <c r="F15" i="5"/>
  <c r="F16" i="5"/>
  <c r="I28" i="3"/>
  <c r="F17" i="5"/>
  <c r="C17" i="5"/>
  <c r="C15" i="5"/>
  <c r="C16" i="5"/>
  <c r="D16" i="5"/>
  <c r="E17" i="5"/>
  <c r="E15" i="5"/>
  <c r="D18" i="5"/>
  <c r="C18" i="5"/>
  <c r="E14" i="5"/>
  <c r="I29" i="3"/>
  <c r="G18" i="5"/>
  <c r="E18" i="5"/>
  <c r="D14" i="5"/>
  <c r="D19" i="5"/>
  <c r="B20" i="5"/>
  <c r="E19" i="5"/>
  <c r="G19" i="5"/>
  <c r="F19" i="5"/>
  <c r="C19" i="5"/>
  <c r="F14" i="5"/>
  <c r="C14" i="5"/>
  <c r="D20" i="5" l="1"/>
  <c r="F20" i="5"/>
  <c r="E20" i="5"/>
  <c r="G20" i="5"/>
  <c r="C20" i="5"/>
  <c r="D48" i="3"/>
  <c r="D47" i="3"/>
  <c r="D9" i="4"/>
  <c r="D10" i="4" s="1"/>
  <c r="D11" i="4" s="1"/>
  <c r="D12" i="4" s="1"/>
  <c r="D13" i="4" s="1"/>
  <c r="D14" i="4" s="1"/>
  <c r="D15" i="4" s="1"/>
  <c r="D16" i="4" s="1"/>
  <c r="D17" i="4" s="1"/>
  <c r="D20" i="4"/>
  <c r="D12" i="5"/>
  <c r="C12" i="5"/>
  <c r="G12" i="5"/>
  <c r="F12" i="5"/>
  <c r="E12" i="5"/>
</calcChain>
</file>

<file path=xl/comments1.xml><?xml version="1.0" encoding="utf-8"?>
<comments xmlns="http://schemas.openxmlformats.org/spreadsheetml/2006/main">
  <authors>
    <author>AgSurvivor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AgSurvivor:</t>
        </r>
        <r>
          <rPr>
            <sz val="9"/>
            <color indexed="81"/>
            <rFont val="Tahoma"/>
            <family val="2"/>
          </rPr>
          <t xml:space="preserve">
These costs seem VERY low.  Are these new or used.  Think some research on it.
From Matt- I will look into the costs after the spreadsheet is complete.  I need numbers to make sure it works properly.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AgSurvivor:</t>
        </r>
        <r>
          <rPr>
            <sz val="9"/>
            <color indexed="81"/>
            <rFont val="Tahoma"/>
            <family val="2"/>
          </rPr>
          <t xml:space="preserve">
Any personal use
From Matt- If there is any personal use, the user would input a percentage less than 100%</t>
        </r>
      </text>
    </comment>
  </commentList>
</comments>
</file>

<file path=xl/sharedStrings.xml><?xml version="1.0" encoding="utf-8"?>
<sst xmlns="http://schemas.openxmlformats.org/spreadsheetml/2006/main" count="198" uniqueCount="143">
  <si>
    <t>Item</t>
  </si>
  <si>
    <t>Salvage Value</t>
  </si>
  <si>
    <t>Refrigeration Unit</t>
  </si>
  <si>
    <t>Shellwasher</t>
  </si>
  <si>
    <t>Sorting Tables</t>
  </si>
  <si>
    <t>Truck</t>
  </si>
  <si>
    <t>Fuel</t>
  </si>
  <si>
    <t>Labor</t>
  </si>
  <si>
    <t>#</t>
  </si>
  <si>
    <t>Total Cost</t>
  </si>
  <si>
    <t>Years Useful Life</t>
  </si>
  <si>
    <t>Yearly Depreciation</t>
  </si>
  <si>
    <t>Enterprise Budget</t>
  </si>
  <si>
    <t>Year prior to harvest will be expenses only.</t>
  </si>
  <si>
    <t>Income</t>
  </si>
  <si>
    <t>Total $</t>
  </si>
  <si>
    <t>Other</t>
  </si>
  <si>
    <t>Variable Cost</t>
  </si>
  <si>
    <t xml:space="preserve">Monitoring </t>
  </si>
  <si>
    <t>Retail Containers</t>
  </si>
  <si>
    <t>Marketing Expenses</t>
  </si>
  <si>
    <t>Overhead</t>
  </si>
  <si>
    <t>Insurance</t>
  </si>
  <si>
    <t>Lease Fees</t>
  </si>
  <si>
    <t>Permit Fees</t>
  </si>
  <si>
    <t>Depreciation</t>
  </si>
  <si>
    <t>Loan Payments</t>
  </si>
  <si>
    <t>Fixed Costs</t>
  </si>
  <si>
    <t>Total Fixed Cost</t>
  </si>
  <si>
    <t>Total Costs</t>
  </si>
  <si>
    <t>Yearly Cash Flow Analysis</t>
  </si>
  <si>
    <t>Year</t>
  </si>
  <si>
    <t>Expenses</t>
  </si>
  <si>
    <t>Intital Bottom Preparaton and Capital Investment</t>
  </si>
  <si>
    <t xml:space="preserve">Harvest begins in year </t>
  </si>
  <si>
    <t>Cash Balance</t>
  </si>
  <si>
    <t>10 Year Internal Rate of Return</t>
  </si>
  <si>
    <t>Marketable oysters are harvested in year</t>
  </si>
  <si>
    <t>Desired Annual Production</t>
  </si>
  <si>
    <t>Harvest Efficency</t>
  </si>
  <si>
    <t>Annual Planting Rate</t>
  </si>
  <si>
    <t>Spat</t>
  </si>
  <si>
    <t>Monitoring Cost</t>
  </si>
  <si>
    <t>Repairs</t>
  </si>
  <si>
    <t>Production Assumptions</t>
  </si>
  <si>
    <t>Marketing Assumptions</t>
  </si>
  <si>
    <t>Other Cost Assumptions</t>
  </si>
  <si>
    <t>Calculated Values</t>
  </si>
  <si>
    <t>Barge</t>
  </si>
  <si>
    <t>Dredge</t>
  </si>
  <si>
    <t>Yearly Loan Payments</t>
  </si>
  <si>
    <t>Capital Investment Cost</t>
  </si>
  <si>
    <t>Unit</t>
  </si>
  <si>
    <t>Bushel Oyster</t>
  </si>
  <si>
    <t>Single Oysters</t>
  </si>
  <si>
    <t>Projected Harvest (Bushels)</t>
  </si>
  <si>
    <t>Quantity</t>
  </si>
  <si>
    <t>*Yield difference based on survival and/or harvest efficiency  with production costs remaining constant.</t>
  </si>
  <si>
    <t>Break Even Analysis</t>
  </si>
  <si>
    <t>TOTAL</t>
  </si>
  <si>
    <t>Gross Income</t>
  </si>
  <si>
    <t>Total Gross Income</t>
  </si>
  <si>
    <t>Total Variable Costs</t>
  </si>
  <si>
    <t>Effects of Weighted Average Price and Annual Yield* on Pre-tax Income</t>
  </si>
  <si>
    <t>Vessel</t>
  </si>
  <si>
    <t>Front End Loader</t>
  </si>
  <si>
    <t>Required Items</t>
  </si>
  <si>
    <t>Optional Items</t>
  </si>
  <si>
    <t>Required Item Total</t>
  </si>
  <si>
    <t>Optional Item Total</t>
  </si>
  <si>
    <t>Grand Total</t>
  </si>
  <si>
    <t>This sheet shows estimated costs and returns once full harvests begin.</t>
  </si>
  <si>
    <t>Bushels</t>
  </si>
  <si>
    <t>Market Size Oysters Per Bushel</t>
  </si>
  <si>
    <t>Lease Size</t>
  </si>
  <si>
    <t>Acres</t>
  </si>
  <si>
    <t>Percent Of Lease Suitable For Planting</t>
  </si>
  <si>
    <t>Number Of Years Until Harvest Size</t>
  </si>
  <si>
    <t>Area Of Lease Harvested Per Year</t>
  </si>
  <si>
    <t>Survival From Planting To Harvest</t>
  </si>
  <si>
    <t>Of Oysters Harvested Per Harvestable Acre</t>
  </si>
  <si>
    <t>Purchase Price Of Spat</t>
  </si>
  <si>
    <t>$ Per 1000 Spat</t>
  </si>
  <si>
    <t xml:space="preserve">Average Yearly Fuel Cost </t>
  </si>
  <si>
    <t>Lease Rent</t>
  </si>
  <si>
    <t>$ Per Acre</t>
  </si>
  <si>
    <t>$ Per Hour</t>
  </si>
  <si>
    <t>$ Per Year</t>
  </si>
  <si>
    <t>Yearly Permit Fees</t>
  </si>
  <si>
    <t>Interest On Operating Funds</t>
  </si>
  <si>
    <t>Percentage Of Oysters Sold To Half Shell Market</t>
  </si>
  <si>
    <t>Crop Sold To Half Shell Market</t>
  </si>
  <si>
    <t>Percentage Of Bushels Sold To Other Markets</t>
  </si>
  <si>
    <t>Crop Sold By Bushel To Other Markets</t>
  </si>
  <si>
    <t>Price For Half Shell Market</t>
  </si>
  <si>
    <t>$ Per Oyster</t>
  </si>
  <si>
    <t>Total Acres Of Lease Suitable For Planting</t>
  </si>
  <si>
    <t>Price For Bushel</t>
  </si>
  <si>
    <t>$ Per Bushel</t>
  </si>
  <si>
    <t>Total Number Of Oysters Harvested Per Year</t>
  </si>
  <si>
    <t>Count Box</t>
  </si>
  <si>
    <t>Total Bushels Havested Per Year</t>
  </si>
  <si>
    <t>Bottom Culture Of Spat On Shell Oysters</t>
  </si>
  <si>
    <t>Cost Of Retail Containers</t>
  </si>
  <si>
    <t>Per Container</t>
  </si>
  <si>
    <t>Total Oysters Harvested Per Acre</t>
  </si>
  <si>
    <t>Total Bushels Havested Per Acre</t>
  </si>
  <si>
    <t>Total Spat Needed</t>
  </si>
  <si>
    <t>Spat Per Acre</t>
  </si>
  <si>
    <t>Per Year</t>
  </si>
  <si>
    <t xml:space="preserve">Capital Cost And Lease Bottom Revitalization </t>
  </si>
  <si>
    <t>Cost Per Unit</t>
  </si>
  <si>
    <t>Percentage Of Time Devoted To Aquaculture</t>
  </si>
  <si>
    <t>Each</t>
  </si>
  <si>
    <t>Harvest Baskets</t>
  </si>
  <si>
    <t>Bottom Stabilization Shell</t>
  </si>
  <si>
    <t>Bottom Stabilization Services</t>
  </si>
  <si>
    <t>$ Per Unit</t>
  </si>
  <si>
    <t>Half Shell Market Oysters</t>
  </si>
  <si>
    <t>Bushel Oyster Markets</t>
  </si>
  <si>
    <t>Bushel</t>
  </si>
  <si>
    <t>$ Per Oyster Harvested</t>
  </si>
  <si>
    <t>$ Per Bushel Harvested</t>
  </si>
  <si>
    <t>Percentage Of Total Cost</t>
  </si>
  <si>
    <t>Interest On Operating Loan</t>
  </si>
  <si>
    <t>Income Before Taxes</t>
  </si>
  <si>
    <t>Break Even Cost</t>
  </si>
  <si>
    <t>1000 Spat</t>
  </si>
  <si>
    <t>Boxes</t>
  </si>
  <si>
    <t>Of Above Costs</t>
  </si>
  <si>
    <t>Weighted Average Price Per Bushel</t>
  </si>
  <si>
    <t>Price Per Bushel</t>
  </si>
  <si>
    <t>Percentage Of Sales</t>
  </si>
  <si>
    <t>Annual Production (Bushels)</t>
  </si>
  <si>
    <t>General Labor Rate</t>
  </si>
  <si>
    <t>General Labor Hours Per Week</t>
  </si>
  <si>
    <t>General Labor Weeks Per Year</t>
  </si>
  <si>
    <t>Supervisory Labor Rate</t>
  </si>
  <si>
    <t>Supervisory Labor Hours Per Week</t>
  </si>
  <si>
    <t>Supervisory Labor Weeks Per Year</t>
  </si>
  <si>
    <t>General Labor</t>
  </si>
  <si>
    <t>Supervisory Labor</t>
  </si>
  <si>
    <t>Area Of Lease Planted Per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</si>
</sst>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&quot;$&quot;* #,##0.000_);_(&quot;$&quot;* \(#,##0.000\);_(&quot;$&quot;* &quot;-&quot;??_);_(@_)"/>
    <numFmt numFmtId="167" formatCode="_(&quot;$&quot;* #,##0.0000_);_(&quot;$&quot;* \(#,##0.0000\);_(&quot;$&quot;* &quot;-&quot;??_);_(@_)"/>
    <numFmt numFmtId="168" formatCode="#,##0.0_);\(#,##0.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6">
    <xf numFmtId="0" fontId="0" fillId="0" borderId="0" xfId="0"/>
    <xf numFmtId="0" fontId="0" fillId="0" borderId="0" xfId="0" applyFill="1" applyBorder="1"/>
    <xf numFmtId="164" fontId="0" fillId="0" borderId="0" xfId="2" applyNumberFormat="1" applyFont="1"/>
    <xf numFmtId="164" fontId="0" fillId="0" borderId="0" xfId="0" applyNumberFormat="1"/>
    <xf numFmtId="44" fontId="0" fillId="0" borderId="0" xfId="0" applyNumberFormat="1"/>
    <xf numFmtId="0" fontId="2" fillId="0" borderId="0" xfId="0" applyFont="1"/>
    <xf numFmtId="0" fontId="3" fillId="0" borderId="0" xfId="0" applyFont="1"/>
    <xf numFmtId="44" fontId="2" fillId="0" borderId="0" xfId="0" applyNumberFormat="1" applyFont="1"/>
    <xf numFmtId="0" fontId="0" fillId="0" borderId="0" xfId="0" applyAlignment="1">
      <alignment wrapText="1"/>
    </xf>
    <xf numFmtId="37" fontId="2" fillId="0" borderId="0" xfId="2" applyNumberFormat="1" applyFont="1" applyAlignment="1">
      <alignment horizontal="left"/>
    </xf>
    <xf numFmtId="0" fontId="0" fillId="0" borderId="0" xfId="0" applyAlignment="1">
      <alignment horizontal="center"/>
    </xf>
    <xf numFmtId="3" fontId="0" fillId="3" borderId="2" xfId="0" applyNumberFormat="1" applyFill="1" applyBorder="1"/>
    <xf numFmtId="0" fontId="0" fillId="3" borderId="2" xfId="0" applyFill="1" applyBorder="1"/>
    <xf numFmtId="3" fontId="0" fillId="0" borderId="2" xfId="0" applyNumberFormat="1" applyFill="1" applyBorder="1"/>
    <xf numFmtId="9" fontId="0" fillId="3" borderId="2" xfId="3" applyFont="1" applyFill="1" applyBorder="1"/>
    <xf numFmtId="9" fontId="0" fillId="0" borderId="2" xfId="3" applyFont="1" applyBorder="1"/>
    <xf numFmtId="0" fontId="0" fillId="0" borderId="2" xfId="0" applyBorder="1"/>
    <xf numFmtId="3" fontId="0" fillId="0" borderId="2" xfId="0" applyNumberFormat="1" applyBorder="1"/>
    <xf numFmtId="165" fontId="0" fillId="0" borderId="2" xfId="1" applyNumberFormat="1" applyFont="1" applyBorder="1"/>
    <xf numFmtId="44" fontId="0" fillId="3" borderId="2" xfId="2" applyFont="1" applyFill="1" applyBorder="1"/>
    <xf numFmtId="164" fontId="2" fillId="0" borderId="0" xfId="2" applyNumberFormat="1" applyFont="1"/>
    <xf numFmtId="0" fontId="0" fillId="0" borderId="0" xfId="0" applyFill="1"/>
    <xf numFmtId="0" fontId="0" fillId="0" borderId="0" xfId="0" applyBorder="1"/>
    <xf numFmtId="164" fontId="0" fillId="0" borderId="0" xfId="2" applyNumberFormat="1" applyFont="1" applyBorder="1"/>
    <xf numFmtId="164" fontId="0" fillId="3" borderId="2" xfId="2" applyNumberFormat="1" applyFont="1" applyFill="1" applyBorder="1"/>
    <xf numFmtId="0" fontId="4" fillId="0" borderId="0" xfId="0" applyFont="1" applyFill="1"/>
    <xf numFmtId="0" fontId="0" fillId="0" borderId="0" xfId="0" applyFill="1" applyAlignment="1">
      <alignment horizontal="right"/>
    </xf>
    <xf numFmtId="0" fontId="2" fillId="0" borderId="0" xfId="0" applyFont="1" applyAlignment="1">
      <alignment horizontal="center"/>
    </xf>
    <xf numFmtId="2" fontId="0" fillId="0" borderId="2" xfId="0" applyNumberFormat="1" applyFill="1" applyBorder="1"/>
    <xf numFmtId="0" fontId="0" fillId="0" borderId="0" xfId="0" applyAlignment="1">
      <alignment vertical="center" textRotation="90" wrapText="1"/>
    </xf>
    <xf numFmtId="0" fontId="0" fillId="0" borderId="0" xfId="0" applyAlignment="1"/>
    <xf numFmtId="9" fontId="0" fillId="0" borderId="0" xfId="3" applyFont="1" applyBorder="1" applyAlignment="1">
      <alignment horizontal="center"/>
    </xf>
    <xf numFmtId="164" fontId="0" fillId="0" borderId="0" xfId="2" applyNumberFormat="1" applyFont="1" applyBorder="1" applyAlignment="1"/>
    <xf numFmtId="0" fontId="0" fillId="0" borderId="0" xfId="3" applyNumberFormat="1" applyFont="1" applyBorder="1" applyAlignment="1">
      <alignment horizontal="center"/>
    </xf>
    <xf numFmtId="0" fontId="0" fillId="0" borderId="1" xfId="3" applyNumberFormat="1" applyFont="1" applyBorder="1" applyAlignment="1">
      <alignment horizontal="center"/>
    </xf>
    <xf numFmtId="44" fontId="0" fillId="0" borderId="1" xfId="2" applyNumberFormat="1" applyFont="1" applyBorder="1" applyAlignment="1"/>
    <xf numFmtId="9" fontId="0" fillId="0" borderId="1" xfId="3" applyFont="1" applyBorder="1" applyAlignment="1"/>
    <xf numFmtId="0" fontId="0" fillId="0" borderId="5" xfId="3" applyNumberFormat="1" applyFont="1" applyBorder="1" applyAlignment="1">
      <alignment horizontal="center"/>
    </xf>
    <xf numFmtId="44" fontId="0" fillId="0" borderId="5" xfId="2" applyNumberFormat="1" applyFont="1" applyBorder="1" applyAlignment="1"/>
    <xf numFmtId="9" fontId="0" fillId="0" borderId="5" xfId="3" applyFont="1" applyBorder="1" applyAlignment="1"/>
    <xf numFmtId="164" fontId="0" fillId="0" borderId="1" xfId="2" applyNumberFormat="1" applyFont="1" applyBorder="1" applyAlignment="1"/>
    <xf numFmtId="164" fontId="0" fillId="0" borderId="8" xfId="2" applyNumberFormat="1" applyFont="1" applyBorder="1" applyAlignment="1"/>
    <xf numFmtId="164" fontId="0" fillId="4" borderId="12" xfId="2" applyNumberFormat="1" applyFont="1" applyFill="1" applyBorder="1"/>
    <xf numFmtId="164" fontId="0" fillId="0" borderId="2" xfId="2" applyNumberFormat="1" applyFont="1" applyBorder="1"/>
    <xf numFmtId="164" fontId="0" fillId="0" borderId="16" xfId="2" applyNumberFormat="1" applyFont="1" applyBorder="1"/>
    <xf numFmtId="164" fontId="0" fillId="0" borderId="18" xfId="2" applyNumberFormat="1" applyFont="1" applyBorder="1"/>
    <xf numFmtId="164" fontId="0" fillId="0" borderId="19" xfId="2" applyNumberFormat="1" applyFont="1" applyBorder="1"/>
    <xf numFmtId="164" fontId="0" fillId="0" borderId="10" xfId="2" applyNumberFormat="1" applyFont="1" applyBorder="1"/>
    <xf numFmtId="164" fontId="0" fillId="0" borderId="20" xfId="2" applyNumberFormat="1" applyFont="1" applyBorder="1"/>
    <xf numFmtId="164" fontId="0" fillId="0" borderId="3" xfId="2" applyNumberFormat="1" applyFont="1" applyBorder="1"/>
    <xf numFmtId="164" fontId="0" fillId="0" borderId="21" xfId="2" applyNumberFormat="1" applyFont="1" applyBorder="1"/>
    <xf numFmtId="0" fontId="0" fillId="0" borderId="25" xfId="0" applyBorder="1" applyAlignment="1">
      <alignment vertical="center" textRotation="90" wrapText="1"/>
    </xf>
    <xf numFmtId="165" fontId="0" fillId="0" borderId="2" xfId="1" applyNumberFormat="1" applyFont="1" applyFill="1" applyBorder="1" applyAlignment="1">
      <alignment horizontal="right"/>
    </xf>
    <xf numFmtId="0" fontId="2" fillId="0" borderId="4" xfId="0" applyFont="1" applyBorder="1"/>
    <xf numFmtId="0" fontId="0" fillId="0" borderId="5" xfId="0" applyBorder="1"/>
    <xf numFmtId="0" fontId="0" fillId="0" borderId="6" xfId="0" applyBorder="1" applyAlignment="1">
      <alignment wrapText="1"/>
    </xf>
    <xf numFmtId="0" fontId="0" fillId="0" borderId="11" xfId="0" applyBorder="1"/>
    <xf numFmtId="0" fontId="0" fillId="0" borderId="9" xfId="0" applyBorder="1" applyAlignment="1">
      <alignment wrapText="1"/>
    </xf>
    <xf numFmtId="0" fontId="0" fillId="0" borderId="7" xfId="0" applyBorder="1"/>
    <xf numFmtId="0" fontId="0" fillId="0" borderId="8" xfId="0" applyBorder="1" applyAlignment="1">
      <alignment wrapText="1"/>
    </xf>
    <xf numFmtId="0" fontId="0" fillId="0" borderId="5" xfId="0" applyFill="1" applyBorder="1"/>
    <xf numFmtId="0" fontId="0" fillId="0" borderId="6" xfId="0" applyBorder="1"/>
    <xf numFmtId="0" fontId="0" fillId="0" borderId="9" xfId="0" applyBorder="1"/>
    <xf numFmtId="0" fontId="0" fillId="0" borderId="8" xfId="0" applyBorder="1"/>
    <xf numFmtId="44" fontId="0" fillId="0" borderId="1" xfId="0" applyNumberFormat="1" applyBorder="1" applyAlignment="1">
      <alignment horizontal="center"/>
    </xf>
    <xf numFmtId="44" fontId="0" fillId="0" borderId="8" xfId="0" applyNumberFormat="1" applyBorder="1"/>
    <xf numFmtId="0" fontId="5" fillId="0" borderId="0" xfId="0" applyFont="1"/>
    <xf numFmtId="0" fontId="7" fillId="0" borderId="0" xfId="0" applyFont="1"/>
    <xf numFmtId="0" fontId="2" fillId="0" borderId="0" xfId="0" applyFont="1" applyAlignment="1">
      <alignment wrapText="1"/>
    </xf>
    <xf numFmtId="0" fontId="2" fillId="0" borderId="5" xfId="0" applyFont="1" applyBorder="1" applyAlignment="1">
      <alignment horizontal="center" wrapText="1"/>
    </xf>
    <xf numFmtId="164" fontId="2" fillId="0" borderId="0" xfId="0" applyNumberFormat="1" applyFont="1"/>
    <xf numFmtId="10" fontId="2" fillId="0" borderId="0" xfId="0" applyNumberFormat="1" applyFont="1"/>
    <xf numFmtId="0" fontId="2" fillId="0" borderId="11" xfId="0" applyFont="1" applyBorder="1" applyAlignment="1">
      <alignment horizontal="center" wrapText="1"/>
    </xf>
    <xf numFmtId="9" fontId="2" fillId="0" borderId="0" xfId="0" applyNumberFormat="1" applyFont="1" applyBorder="1" applyAlignment="1">
      <alignment horizontal="center" wrapText="1"/>
    </xf>
    <xf numFmtId="9" fontId="2" fillId="0" borderId="9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44" fontId="2" fillId="0" borderId="20" xfId="0" applyNumberFormat="1" applyFont="1" applyBorder="1"/>
    <xf numFmtId="44" fontId="2" fillId="0" borderId="24" xfId="0" applyNumberFormat="1" applyFont="1" applyBorder="1"/>
    <xf numFmtId="9" fontId="2" fillId="0" borderId="4" xfId="3" applyFont="1" applyBorder="1" applyAlignment="1">
      <alignment horizontal="center"/>
    </xf>
    <xf numFmtId="9" fontId="2" fillId="0" borderId="7" xfId="3" applyFont="1" applyBorder="1" applyAlignment="1">
      <alignment horizontal="center"/>
    </xf>
    <xf numFmtId="0" fontId="2" fillId="0" borderId="1" xfId="3" applyNumberFormat="1" applyFont="1" applyBorder="1" applyAlignment="1">
      <alignment horizontal="center"/>
    </xf>
    <xf numFmtId="0" fontId="2" fillId="0" borderId="2" xfId="0" applyFont="1" applyBorder="1"/>
    <xf numFmtId="0" fontId="0" fillId="0" borderId="2" xfId="0" applyBorder="1" applyAlignment="1">
      <alignment horizontal="center"/>
    </xf>
    <xf numFmtId="165" fontId="0" fillId="0" borderId="2" xfId="1" applyNumberFormat="1" applyFont="1" applyBorder="1" applyAlignment="1">
      <alignment horizontal="center"/>
    </xf>
    <xf numFmtId="44" fontId="0" fillId="0" borderId="2" xfId="0" applyNumberFormat="1" applyBorder="1"/>
    <xf numFmtId="164" fontId="2" fillId="0" borderId="2" xfId="2" applyNumberFormat="1" applyFont="1" applyBorder="1"/>
    <xf numFmtId="0" fontId="2" fillId="0" borderId="26" xfId="0" applyFont="1" applyBorder="1"/>
    <xf numFmtId="0" fontId="0" fillId="0" borderId="27" xfId="0" applyBorder="1"/>
    <xf numFmtId="0" fontId="0" fillId="0" borderId="27" xfId="0" applyBorder="1" applyAlignment="1">
      <alignment horizontal="center"/>
    </xf>
    <xf numFmtId="164" fontId="0" fillId="0" borderId="28" xfId="2" applyNumberFormat="1" applyFont="1" applyBorder="1"/>
    <xf numFmtId="0" fontId="0" fillId="0" borderId="29" xfId="0" applyBorder="1"/>
    <xf numFmtId="0" fontId="2" fillId="0" borderId="30" xfId="0" applyFont="1" applyBorder="1"/>
    <xf numFmtId="0" fontId="2" fillId="0" borderId="18" xfId="0" applyFont="1" applyBorder="1"/>
    <xf numFmtId="0" fontId="2" fillId="0" borderId="18" xfId="0" applyFont="1" applyBorder="1" applyAlignment="1">
      <alignment horizontal="center"/>
    </xf>
    <xf numFmtId="164" fontId="2" fillId="0" borderId="19" xfId="2" applyNumberFormat="1" applyFont="1" applyBorder="1"/>
    <xf numFmtId="0" fontId="8" fillId="0" borderId="2" xfId="0" applyFont="1" applyBorder="1" applyAlignment="1">
      <alignment horizontal="center" wrapText="1"/>
    </xf>
    <xf numFmtId="164" fontId="8" fillId="0" borderId="2" xfId="2" applyNumberFormat="1" applyFont="1" applyBorder="1" applyAlignment="1">
      <alignment horizontal="center" wrapText="1"/>
    </xf>
    <xf numFmtId="44" fontId="0" fillId="0" borderId="2" xfId="2" applyFont="1" applyBorder="1"/>
    <xf numFmtId="166" fontId="0" fillId="0" borderId="2" xfId="0" applyNumberFormat="1" applyBorder="1"/>
    <xf numFmtId="0" fontId="0" fillId="0" borderId="2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44" fontId="0" fillId="0" borderId="2" xfId="2" applyFont="1" applyFill="1" applyBorder="1"/>
    <xf numFmtId="165" fontId="0" fillId="0" borderId="2" xfId="1" applyNumberFormat="1" applyFont="1" applyBorder="1" applyAlignment="1"/>
    <xf numFmtId="164" fontId="0" fillId="0" borderId="2" xfId="2" applyNumberFormat="1" applyFont="1" applyFill="1" applyBorder="1"/>
    <xf numFmtId="9" fontId="0" fillId="0" borderId="2" xfId="3" applyFont="1" applyFill="1" applyBorder="1" applyAlignment="1">
      <alignment horizontal="center"/>
    </xf>
    <xf numFmtId="164" fontId="0" fillId="2" borderId="2" xfId="2" applyNumberFormat="1" applyFont="1" applyFill="1" applyBorder="1"/>
    <xf numFmtId="0" fontId="2" fillId="0" borderId="27" xfId="0" applyFont="1" applyBorder="1"/>
    <xf numFmtId="164" fontId="0" fillId="0" borderId="27" xfId="2" applyNumberFormat="1" applyFont="1" applyBorder="1"/>
    <xf numFmtId="0" fontId="0" fillId="0" borderId="28" xfId="0" applyBorder="1" applyAlignment="1">
      <alignment horizontal="center"/>
    </xf>
    <xf numFmtId="9" fontId="0" fillId="0" borderId="16" xfId="3" applyFont="1" applyBorder="1" applyAlignment="1">
      <alignment horizontal="center"/>
    </xf>
    <xf numFmtId="0" fontId="2" fillId="0" borderId="29" xfId="0" applyFont="1" applyBorder="1"/>
    <xf numFmtId="9" fontId="2" fillId="0" borderId="16" xfId="3" applyFont="1" applyBorder="1" applyAlignment="1">
      <alignment horizontal="center"/>
    </xf>
    <xf numFmtId="164" fontId="2" fillId="0" borderId="18" xfId="2" applyNumberFormat="1" applyFont="1" applyBorder="1"/>
    <xf numFmtId="9" fontId="0" fillId="0" borderId="19" xfId="3" applyFont="1" applyBorder="1" applyAlignment="1">
      <alignment horizontal="center"/>
    </xf>
    <xf numFmtId="0" fontId="0" fillId="0" borderId="31" xfId="0" applyBorder="1"/>
    <xf numFmtId="0" fontId="0" fillId="0" borderId="21" xfId="0" applyBorder="1"/>
    <xf numFmtId="3" fontId="0" fillId="0" borderId="21" xfId="0" applyNumberFormat="1" applyBorder="1" applyAlignment="1">
      <alignment horizontal="center"/>
    </xf>
    <xf numFmtId="44" fontId="0" fillId="0" borderId="21" xfId="2" applyFont="1" applyBorder="1"/>
    <xf numFmtId="166" fontId="0" fillId="0" borderId="21" xfId="0" applyNumberFormat="1" applyBorder="1"/>
    <xf numFmtId="9" fontId="0" fillId="0" borderId="32" xfId="3" applyFont="1" applyBorder="1" applyAlignment="1">
      <alignment horizontal="center"/>
    </xf>
    <xf numFmtId="0" fontId="8" fillId="0" borderId="18" xfId="0" applyFont="1" applyBorder="1" applyAlignment="1">
      <alignment horizontal="center" wrapText="1"/>
    </xf>
    <xf numFmtId="164" fontId="8" fillId="0" borderId="18" xfId="2" applyNumberFormat="1" applyFont="1" applyBorder="1" applyAlignment="1">
      <alignment horizontal="center" wrapText="1"/>
    </xf>
    <xf numFmtId="0" fontId="8" fillId="0" borderId="19" xfId="0" applyFont="1" applyBorder="1" applyAlignment="1">
      <alignment horizontal="center" wrapText="1"/>
    </xf>
    <xf numFmtId="165" fontId="0" fillId="0" borderId="21" xfId="1" applyNumberFormat="1" applyFont="1" applyBorder="1" applyAlignment="1">
      <alignment horizontal="center"/>
    </xf>
    <xf numFmtId="164" fontId="0" fillId="0" borderId="32" xfId="2" applyNumberFormat="1" applyFont="1" applyBorder="1"/>
    <xf numFmtId="0" fontId="8" fillId="0" borderId="30" xfId="0" applyFont="1" applyBorder="1"/>
    <xf numFmtId="0" fontId="8" fillId="0" borderId="18" xfId="0" applyFont="1" applyBorder="1"/>
    <xf numFmtId="0" fontId="8" fillId="0" borderId="18" xfId="0" applyFont="1" applyBorder="1" applyAlignment="1">
      <alignment horizontal="center"/>
    </xf>
    <xf numFmtId="164" fontId="8" fillId="0" borderId="19" xfId="2" applyNumberFormat="1" applyFont="1" applyBorder="1" applyAlignment="1">
      <alignment horizontal="center"/>
    </xf>
    <xf numFmtId="0" fontId="0" fillId="0" borderId="21" xfId="0" applyBorder="1" applyAlignment="1">
      <alignment horizontal="right"/>
    </xf>
    <xf numFmtId="0" fontId="0" fillId="0" borderId="2" xfId="0" applyBorder="1" applyAlignment="1">
      <alignment horizontal="right"/>
    </xf>
    <xf numFmtId="0" fontId="2" fillId="0" borderId="18" xfId="0" applyFont="1" applyBorder="1" applyAlignment="1">
      <alignment horizontal="right"/>
    </xf>
    <xf numFmtId="167" fontId="0" fillId="0" borderId="2" xfId="0" applyNumberFormat="1" applyBorder="1"/>
    <xf numFmtId="167" fontId="0" fillId="0" borderId="18" xfId="0" applyNumberFormat="1" applyBorder="1"/>
    <xf numFmtId="166" fontId="0" fillId="0" borderId="0" xfId="0" applyNumberFormat="1" applyBorder="1" applyAlignment="1">
      <alignment horizontal="center"/>
    </xf>
    <xf numFmtId="166" fontId="0" fillId="0" borderId="9" xfId="0" applyNumberFormat="1" applyBorder="1"/>
    <xf numFmtId="39" fontId="0" fillId="3" borderId="2" xfId="2" applyNumberFormat="1" applyFont="1" applyFill="1" applyBorder="1"/>
    <xf numFmtId="168" fontId="0" fillId="3" borderId="2" xfId="2" applyNumberFormat="1" applyFont="1" applyFill="1" applyBorder="1"/>
    <xf numFmtId="166" fontId="2" fillId="0" borderId="2" xfId="0" applyNumberFormat="1" applyFont="1" applyBorder="1"/>
    <xf numFmtId="166" fontId="0" fillId="0" borderId="18" xfId="0" applyNumberFormat="1" applyBorder="1"/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0" fillId="2" borderId="2" xfId="0" applyFill="1" applyBorder="1" applyAlignment="1"/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9" fontId="0" fillId="2" borderId="2" xfId="3" applyFont="1" applyFill="1" applyBorder="1"/>
    <xf numFmtId="0" fontId="0" fillId="0" borderId="2" xfId="0" applyFill="1" applyBorder="1"/>
    <xf numFmtId="0" fontId="2" fillId="0" borderId="6" xfId="0" applyFont="1" applyBorder="1" applyAlignment="1">
      <alignment horizontal="center" vertical="top" wrapText="1"/>
    </xf>
    <xf numFmtId="0" fontId="8" fillId="0" borderId="30" xfId="0" applyFont="1" applyBorder="1" applyAlignment="1">
      <alignment horizontal="left" wrapText="1"/>
    </xf>
    <xf numFmtId="0" fontId="8" fillId="0" borderId="18" xfId="0" applyFont="1" applyBorder="1" applyAlignment="1">
      <alignment horizontal="left" wrapText="1"/>
    </xf>
    <xf numFmtId="0" fontId="8" fillId="0" borderId="29" xfId="0" applyFont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44" fontId="0" fillId="0" borderId="6" xfId="2" applyNumberFormat="1" applyFont="1" applyBorder="1" applyAlignment="1">
      <alignment horizontal="center" vertical="center"/>
    </xf>
    <xf numFmtId="0" fontId="0" fillId="0" borderId="8" xfId="2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9" fontId="6" fillId="0" borderId="0" xfId="3" applyFont="1" applyBorder="1" applyAlignment="1">
      <alignment horizontal="center"/>
    </xf>
    <xf numFmtId="9" fontId="2" fillId="0" borderId="22" xfId="3" applyFont="1" applyBorder="1" applyAlignment="1">
      <alignment horizontal="center"/>
    </xf>
    <xf numFmtId="9" fontId="2" fillId="0" borderId="13" xfId="3" applyFont="1" applyBorder="1" applyAlignment="1">
      <alignment horizontal="center"/>
    </xf>
    <xf numFmtId="9" fontId="2" fillId="0" borderId="14" xfId="3" applyFont="1" applyBorder="1" applyAlignment="1">
      <alignment horizontal="center"/>
    </xf>
    <xf numFmtId="0" fontId="2" fillId="0" borderId="15" xfId="0" applyFont="1" applyBorder="1" applyAlignment="1">
      <alignment horizontal="center" vertical="center" textRotation="90" wrapText="1"/>
    </xf>
    <xf numFmtId="0" fontId="2" fillId="0" borderId="17" xfId="0" applyFont="1" applyBorder="1" applyAlignment="1">
      <alignment horizontal="center" vertical="center" textRotation="90" wrapText="1"/>
    </xf>
    <xf numFmtId="9" fontId="0" fillId="0" borderId="23" xfId="3" applyFont="1" applyBorder="1" applyAlignment="1">
      <alignment horizontal="center"/>
    </xf>
    <xf numFmtId="9" fontId="0" fillId="0" borderId="8" xfId="3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'Yearly Cash Flow Analysis'!$D$6</c:f>
              <c:strCache>
                <c:ptCount val="1"/>
                <c:pt idx="0">
                  <c:v>Cash Balance</c:v>
                </c:pt>
              </c:strCache>
            </c:strRef>
          </c:tx>
          <c:invertIfNegative val="0"/>
          <c:cat>
            <c:numRef>
              <c:f>'Yearly Cash Flow Analysis'!$A$7:$A$17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'Yearly Cash Flow Analysis'!$D$7:$D$17</c:f>
              <c:numCache>
                <c:formatCode>_("$"* #,##0_);_("$"* \(#,##0\);_("$"* "-"??_);_(@_)</c:formatCode>
                <c:ptCount val="11"/>
                <c:pt idx="0">
                  <c:v>-67700</c:v>
                </c:pt>
                <c:pt idx="1">
                  <c:v>-133558.12133333331</c:v>
                </c:pt>
                <c:pt idx="2">
                  <c:v>-199416.24266666663</c:v>
                </c:pt>
                <c:pt idx="3">
                  <c:v>22225.636000000042</c:v>
                </c:pt>
                <c:pt idx="4">
                  <c:v>243867.51466666674</c:v>
                </c:pt>
                <c:pt idx="5">
                  <c:v>465509.39333333343</c:v>
                </c:pt>
                <c:pt idx="6">
                  <c:v>687151.27200000011</c:v>
                </c:pt>
                <c:pt idx="7">
                  <c:v>908793.1506666668</c:v>
                </c:pt>
                <c:pt idx="8">
                  <c:v>1130435.0293333333</c:v>
                </c:pt>
                <c:pt idx="9">
                  <c:v>1352076.9079999998</c:v>
                </c:pt>
                <c:pt idx="10">
                  <c:v>1573718.7866666664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7922144"/>
        <c:axId val="337922536"/>
      </c:barChart>
      <c:catAx>
        <c:axId val="33792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37922536"/>
        <c:crosses val="autoZero"/>
        <c:auto val="1"/>
        <c:lblAlgn val="ctr"/>
        <c:lblOffset val="100"/>
        <c:noMultiLvlLbl val="0"/>
      </c:catAx>
      <c:valAx>
        <c:axId val="337922536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3379221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2</xdr:row>
      <xdr:rowOff>66674</xdr:rowOff>
    </xdr:from>
    <xdr:to>
      <xdr:col>16</xdr:col>
      <xdr:colOff>247650</xdr:colOff>
      <xdr:row>20</xdr:row>
      <xdr:rowOff>19049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  <pageSetUpPr fitToPage="1"/>
  </sheetPr>
  <dimension ref="A1:J40"/>
  <sheetViews>
    <sheetView tabSelected="1" workbookViewId="0">
      <selection activeCell="A10" sqref="A10"/>
    </sheetView>
  </sheetViews>
  <sheetFormatPr defaultRowHeight="15" x14ac:dyDescent="0.25"/>
  <cols>
    <col min="1" max="1" width="43" customWidth="1"/>
    <col min="2" max="2" width="11.5703125" bestFit="1" customWidth="1"/>
    <col min="3" max="3" width="32.7109375" style="8" customWidth="1"/>
    <col min="4" max="4" width="11.140625" bestFit="1" customWidth="1"/>
    <col min="6" max="6" width="40.140625" bestFit="1" customWidth="1"/>
    <col min="7" max="7" width="11.5703125" customWidth="1"/>
    <col min="8" max="8" width="13.42578125" customWidth="1"/>
    <col min="10" max="10" width="9" customWidth="1"/>
  </cols>
  <sheetData>
    <row r="1" spans="1:10" ht="23.25" x14ac:dyDescent="0.35">
      <c r="A1" s="66" t="s">
        <v>102</v>
      </c>
    </row>
    <row r="3" spans="1:10" x14ac:dyDescent="0.25">
      <c r="A3" s="53" t="s">
        <v>44</v>
      </c>
      <c r="B3" s="54"/>
      <c r="C3" s="55"/>
      <c r="F3" s="53" t="s">
        <v>46</v>
      </c>
      <c r="G3" s="54"/>
      <c r="H3" s="61"/>
    </row>
    <row r="4" spans="1:10" x14ac:dyDescent="0.25">
      <c r="A4" s="56" t="s">
        <v>38</v>
      </c>
      <c r="B4" s="11">
        <v>5000</v>
      </c>
      <c r="C4" s="57" t="s">
        <v>72</v>
      </c>
      <c r="F4" s="56" t="s">
        <v>84</v>
      </c>
      <c r="G4" s="19">
        <v>3.5</v>
      </c>
      <c r="H4" s="62" t="s">
        <v>85</v>
      </c>
    </row>
    <row r="5" spans="1:10" x14ac:dyDescent="0.25">
      <c r="A5" s="56" t="s">
        <v>73</v>
      </c>
      <c r="B5" s="12">
        <v>275</v>
      </c>
      <c r="C5" s="57" t="s">
        <v>8</v>
      </c>
      <c r="F5" s="56" t="s">
        <v>134</v>
      </c>
      <c r="G5" s="19">
        <v>7.5</v>
      </c>
      <c r="H5" s="62" t="s">
        <v>86</v>
      </c>
    </row>
    <row r="6" spans="1:10" x14ac:dyDescent="0.25">
      <c r="A6" s="56" t="s">
        <v>74</v>
      </c>
      <c r="B6" s="12">
        <v>15</v>
      </c>
      <c r="C6" s="57" t="s">
        <v>75</v>
      </c>
      <c r="F6" s="56" t="s">
        <v>135</v>
      </c>
      <c r="G6" s="138">
        <v>20</v>
      </c>
      <c r="H6" s="62"/>
      <c r="J6" s="25"/>
    </row>
    <row r="7" spans="1:10" x14ac:dyDescent="0.25">
      <c r="A7" s="56" t="s">
        <v>76</v>
      </c>
      <c r="B7" s="14">
        <v>0.5</v>
      </c>
      <c r="C7" s="57"/>
      <c r="D7" s="21"/>
      <c r="E7" s="26"/>
      <c r="F7" s="56" t="s">
        <v>136</v>
      </c>
      <c r="G7" s="138">
        <v>52</v>
      </c>
      <c r="H7" s="62"/>
    </row>
    <row r="8" spans="1:10" x14ac:dyDescent="0.25">
      <c r="A8" s="56" t="s">
        <v>77</v>
      </c>
      <c r="B8" s="12">
        <v>3</v>
      </c>
      <c r="C8" s="57"/>
      <c r="F8" s="56" t="s">
        <v>137</v>
      </c>
      <c r="G8" s="19">
        <v>15</v>
      </c>
      <c r="H8" s="62" t="s">
        <v>86</v>
      </c>
    </row>
    <row r="9" spans="1:10" x14ac:dyDescent="0.25">
      <c r="A9" s="56" t="s">
        <v>142</v>
      </c>
      <c r="B9" s="28">
        <f>B6*B7/B8</f>
        <v>2.5</v>
      </c>
      <c r="C9" s="57" t="s">
        <v>75</v>
      </c>
      <c r="F9" s="56" t="s">
        <v>138</v>
      </c>
      <c r="G9" s="137">
        <v>40</v>
      </c>
      <c r="H9" s="62"/>
    </row>
    <row r="10" spans="1:10" x14ac:dyDescent="0.25">
      <c r="A10" s="56" t="s">
        <v>78</v>
      </c>
      <c r="B10" s="28">
        <f>B9</f>
        <v>2.5</v>
      </c>
      <c r="C10" s="57" t="s">
        <v>75</v>
      </c>
      <c r="F10" s="56" t="s">
        <v>139</v>
      </c>
      <c r="G10" s="137">
        <v>52</v>
      </c>
      <c r="H10" s="62"/>
    </row>
    <row r="11" spans="1:10" ht="29.25" customHeight="1" x14ac:dyDescent="0.25">
      <c r="A11" s="56" t="s">
        <v>79</v>
      </c>
      <c r="B11" s="14">
        <v>0.5</v>
      </c>
      <c r="C11" s="57"/>
      <c r="F11" s="56" t="s">
        <v>42</v>
      </c>
      <c r="G11" s="19">
        <v>2000</v>
      </c>
      <c r="H11" s="62" t="s">
        <v>87</v>
      </c>
    </row>
    <row r="12" spans="1:10" ht="30" x14ac:dyDescent="0.25">
      <c r="A12" s="56" t="s">
        <v>39</v>
      </c>
      <c r="B12" s="14">
        <v>0.75</v>
      </c>
      <c r="C12" s="57" t="s">
        <v>80</v>
      </c>
      <c r="F12" s="56" t="s">
        <v>22</v>
      </c>
      <c r="G12" s="19">
        <v>1000</v>
      </c>
      <c r="H12" s="62" t="s">
        <v>87</v>
      </c>
    </row>
    <row r="13" spans="1:10" x14ac:dyDescent="0.25">
      <c r="A13" s="56" t="s">
        <v>81</v>
      </c>
      <c r="B13" s="19">
        <v>0.01</v>
      </c>
      <c r="C13" s="57" t="s">
        <v>82</v>
      </c>
      <c r="F13" s="56" t="s">
        <v>88</v>
      </c>
      <c r="G13" s="24">
        <v>1000</v>
      </c>
      <c r="H13" s="62"/>
    </row>
    <row r="14" spans="1:10" x14ac:dyDescent="0.25">
      <c r="A14" s="58" t="s">
        <v>83</v>
      </c>
      <c r="B14" s="19">
        <v>2000</v>
      </c>
      <c r="C14" s="59"/>
      <c r="F14" s="56" t="s">
        <v>21</v>
      </c>
      <c r="G14" s="14">
        <v>0.05</v>
      </c>
      <c r="H14" s="62"/>
    </row>
    <row r="15" spans="1:10" x14ac:dyDescent="0.25">
      <c r="B15" s="1"/>
      <c r="F15" s="56" t="s">
        <v>89</v>
      </c>
      <c r="G15" s="14">
        <v>7.0000000000000007E-2</v>
      </c>
      <c r="H15" s="62"/>
    </row>
    <row r="16" spans="1:10" x14ac:dyDescent="0.25">
      <c r="A16" s="53" t="s">
        <v>45</v>
      </c>
      <c r="B16" s="60"/>
      <c r="C16" s="55"/>
      <c r="F16" s="58" t="s">
        <v>50</v>
      </c>
      <c r="G16" s="24">
        <v>2300</v>
      </c>
      <c r="H16" s="63"/>
    </row>
    <row r="17" spans="1:8" x14ac:dyDescent="0.25">
      <c r="A17" s="56" t="s">
        <v>90</v>
      </c>
      <c r="B17" s="14">
        <v>0.25</v>
      </c>
      <c r="C17" s="57" t="s">
        <v>91</v>
      </c>
    </row>
    <row r="18" spans="1:8" ht="30" x14ac:dyDescent="0.25">
      <c r="A18" s="56" t="s">
        <v>92</v>
      </c>
      <c r="B18" s="15">
        <f>1-B17</f>
        <v>0.75</v>
      </c>
      <c r="C18" s="57" t="s">
        <v>93</v>
      </c>
      <c r="F18" s="53" t="s">
        <v>47</v>
      </c>
      <c r="G18" s="54"/>
      <c r="H18" s="61"/>
    </row>
    <row r="19" spans="1:8" x14ac:dyDescent="0.25">
      <c r="A19" s="56" t="s">
        <v>94</v>
      </c>
      <c r="B19" s="19">
        <v>0.4</v>
      </c>
      <c r="C19" s="57" t="s">
        <v>95</v>
      </c>
      <c r="F19" s="56" t="s">
        <v>96</v>
      </c>
      <c r="G19" s="16">
        <f>B6*B7</f>
        <v>7.5</v>
      </c>
      <c r="H19" s="62"/>
    </row>
    <row r="20" spans="1:8" x14ac:dyDescent="0.25">
      <c r="A20" s="56" t="s">
        <v>97</v>
      </c>
      <c r="B20" s="19">
        <v>40</v>
      </c>
      <c r="C20" s="57" t="s">
        <v>98</v>
      </c>
      <c r="F20" s="56" t="s">
        <v>99</v>
      </c>
      <c r="G20" s="13">
        <f>B4*B5</f>
        <v>1375000</v>
      </c>
      <c r="H20" s="62"/>
    </row>
    <row r="21" spans="1:8" ht="15" customHeight="1" x14ac:dyDescent="0.25">
      <c r="A21" s="56" t="s">
        <v>19</v>
      </c>
      <c r="B21" s="12">
        <v>100</v>
      </c>
      <c r="C21" s="57" t="s">
        <v>100</v>
      </c>
      <c r="F21" s="56" t="s">
        <v>101</v>
      </c>
      <c r="G21" s="13">
        <f>G20/B5</f>
        <v>5000</v>
      </c>
      <c r="H21" s="62"/>
    </row>
    <row r="22" spans="1:8" x14ac:dyDescent="0.25">
      <c r="A22" s="56" t="s">
        <v>103</v>
      </c>
      <c r="B22" s="19">
        <v>1</v>
      </c>
      <c r="C22" s="57" t="s">
        <v>104</v>
      </c>
      <c r="F22" s="56" t="s">
        <v>105</v>
      </c>
      <c r="G22" s="18">
        <f>G20/B10</f>
        <v>550000</v>
      </c>
      <c r="H22" s="62"/>
    </row>
    <row r="23" spans="1:8" x14ac:dyDescent="0.25">
      <c r="A23" s="58" t="s">
        <v>20</v>
      </c>
      <c r="B23" s="19">
        <v>2000</v>
      </c>
      <c r="C23" s="59" t="s">
        <v>87</v>
      </c>
      <c r="F23" s="56" t="s">
        <v>106</v>
      </c>
      <c r="G23" s="18">
        <f>G22/B5</f>
        <v>2000</v>
      </c>
      <c r="H23" s="62"/>
    </row>
    <row r="24" spans="1:8" x14ac:dyDescent="0.25">
      <c r="F24" s="56" t="s">
        <v>40</v>
      </c>
      <c r="G24" s="52">
        <f>G25/B9</f>
        <v>1466666.6666666665</v>
      </c>
      <c r="H24" s="62" t="s">
        <v>108</v>
      </c>
    </row>
    <row r="25" spans="1:8" x14ac:dyDescent="0.25">
      <c r="F25" s="56" t="s">
        <v>107</v>
      </c>
      <c r="G25" s="17">
        <f>G20/B11/B12</f>
        <v>3666666.6666666665</v>
      </c>
      <c r="H25" s="62" t="s">
        <v>109</v>
      </c>
    </row>
    <row r="26" spans="1:8" x14ac:dyDescent="0.25">
      <c r="F26" s="58"/>
      <c r="G26" s="18"/>
      <c r="H26" s="63"/>
    </row>
    <row r="31" spans="1:8" x14ac:dyDescent="0.25">
      <c r="B31" s="22"/>
    </row>
    <row r="32" spans="1:8" x14ac:dyDescent="0.25">
      <c r="B32" s="22"/>
    </row>
    <row r="33" spans="2:2" x14ac:dyDescent="0.25">
      <c r="B33" s="22"/>
    </row>
    <row r="34" spans="2:2" x14ac:dyDescent="0.25">
      <c r="B34" s="22"/>
    </row>
    <row r="35" spans="2:2" x14ac:dyDescent="0.25">
      <c r="B35" s="22"/>
    </row>
    <row r="36" spans="2:2" x14ac:dyDescent="0.25">
      <c r="B36" s="22"/>
    </row>
    <row r="37" spans="2:2" x14ac:dyDescent="0.25">
      <c r="B37" s="22"/>
    </row>
    <row r="38" spans="2:2" x14ac:dyDescent="0.25">
      <c r="B38" s="22"/>
    </row>
    <row r="39" spans="2:2" x14ac:dyDescent="0.25">
      <c r="B39" s="1"/>
    </row>
    <row r="40" spans="2:2" x14ac:dyDescent="0.25">
      <c r="B40" s="22"/>
    </row>
  </sheetData>
  <printOptions headings="1" gridLines="1"/>
  <pageMargins left="0.7" right="0.7" top="0.75" bottom="0.75" header="0.3" footer="0.3"/>
  <pageSetup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00B0F0"/>
    <pageSetUpPr fitToPage="1"/>
  </sheetPr>
  <dimension ref="A1:I28"/>
  <sheetViews>
    <sheetView topLeftCell="D10" workbookViewId="0">
      <selection activeCell="J27" sqref="J27"/>
    </sheetView>
  </sheetViews>
  <sheetFormatPr defaultRowHeight="15" x14ac:dyDescent="0.25"/>
  <cols>
    <col min="1" max="1" width="29.140625" customWidth="1"/>
    <col min="2" max="3" width="8.5703125" customWidth="1"/>
    <col min="4" max="4" width="11.5703125" bestFit="1" customWidth="1"/>
    <col min="5" max="5" width="12.28515625" bestFit="1" customWidth="1"/>
    <col min="6" max="6" width="15.7109375" bestFit="1" customWidth="1"/>
    <col min="7" max="7" width="12.85546875" customWidth="1"/>
    <col min="8" max="8" width="14.42578125" customWidth="1"/>
    <col min="9" max="9" width="13.42578125" bestFit="1" customWidth="1"/>
  </cols>
  <sheetData>
    <row r="1" spans="1:9" x14ac:dyDescent="0.25">
      <c r="A1" t="s">
        <v>110</v>
      </c>
    </row>
    <row r="4" spans="1:9" ht="18.75" x14ac:dyDescent="0.3">
      <c r="A4" s="67" t="s">
        <v>51</v>
      </c>
    </row>
    <row r="5" spans="1:9" s="68" customFormat="1" ht="60" x14ac:dyDescent="0.25">
      <c r="A5" s="141" t="s">
        <v>66</v>
      </c>
      <c r="B5" s="141" t="s">
        <v>56</v>
      </c>
      <c r="C5" s="142" t="s">
        <v>52</v>
      </c>
      <c r="D5" s="142" t="s">
        <v>111</v>
      </c>
      <c r="E5" s="142" t="s">
        <v>9</v>
      </c>
      <c r="F5" s="142" t="s">
        <v>10</v>
      </c>
      <c r="G5" s="142" t="s">
        <v>1</v>
      </c>
      <c r="H5" s="142" t="s">
        <v>112</v>
      </c>
      <c r="I5" s="142" t="s">
        <v>11</v>
      </c>
    </row>
    <row r="6" spans="1:9" x14ac:dyDescent="0.25">
      <c r="A6" s="16" t="s">
        <v>64</v>
      </c>
      <c r="B6" s="143">
        <v>1</v>
      </c>
      <c r="C6" s="144" t="s">
        <v>113</v>
      </c>
      <c r="D6" s="106">
        <v>10000</v>
      </c>
      <c r="E6" s="43">
        <f>B6*D6</f>
        <v>10000</v>
      </c>
      <c r="F6" s="145">
        <v>12</v>
      </c>
      <c r="G6" s="145">
        <v>0</v>
      </c>
      <c r="H6" s="146">
        <v>1</v>
      </c>
      <c r="I6" s="43">
        <f>((E6-G6)/F6)*H6</f>
        <v>833.33333333333337</v>
      </c>
    </row>
    <row r="7" spans="1:9" x14ac:dyDescent="0.25">
      <c r="A7" s="16" t="s">
        <v>114</v>
      </c>
      <c r="B7" s="143">
        <v>45</v>
      </c>
      <c r="C7" s="144" t="s">
        <v>113</v>
      </c>
      <c r="D7" s="106">
        <v>20</v>
      </c>
      <c r="E7" s="43">
        <f t="shared" ref="E7:E12" si="0">B7*D7</f>
        <v>900</v>
      </c>
      <c r="F7" s="145">
        <v>3</v>
      </c>
      <c r="G7" s="145">
        <v>0</v>
      </c>
      <c r="H7" s="146">
        <v>1</v>
      </c>
      <c r="I7" s="43">
        <f t="shared" ref="I7:I9" si="1">((E7-G7)/F7)*H7</f>
        <v>300</v>
      </c>
    </row>
    <row r="8" spans="1:9" x14ac:dyDescent="0.25">
      <c r="A8" s="16" t="s">
        <v>5</v>
      </c>
      <c r="B8" s="143">
        <v>1</v>
      </c>
      <c r="C8" s="144" t="s">
        <v>113</v>
      </c>
      <c r="D8" s="106">
        <v>15000</v>
      </c>
      <c r="E8" s="43">
        <f t="shared" si="0"/>
        <v>15000</v>
      </c>
      <c r="F8" s="145">
        <v>12</v>
      </c>
      <c r="G8" s="145">
        <v>0</v>
      </c>
      <c r="H8" s="146">
        <v>1</v>
      </c>
      <c r="I8" s="43">
        <f t="shared" si="1"/>
        <v>1250</v>
      </c>
    </row>
    <row r="9" spans="1:9" x14ac:dyDescent="0.25">
      <c r="A9" s="16" t="s">
        <v>49</v>
      </c>
      <c r="B9" s="143">
        <v>1</v>
      </c>
      <c r="C9" s="144" t="s">
        <v>113</v>
      </c>
      <c r="D9" s="106">
        <v>2500</v>
      </c>
      <c r="E9" s="43">
        <f t="shared" si="0"/>
        <v>2500</v>
      </c>
      <c r="F9" s="145">
        <v>10</v>
      </c>
      <c r="G9" s="145">
        <v>0</v>
      </c>
      <c r="H9" s="146">
        <v>1</v>
      </c>
      <c r="I9" s="43">
        <f t="shared" si="1"/>
        <v>250</v>
      </c>
    </row>
    <row r="10" spans="1:9" x14ac:dyDescent="0.25">
      <c r="A10" s="16"/>
      <c r="B10" s="143"/>
      <c r="C10" s="144"/>
      <c r="D10" s="106"/>
      <c r="E10" s="43">
        <f t="shared" si="0"/>
        <v>0</v>
      </c>
      <c r="F10" s="145"/>
      <c r="G10" s="145"/>
      <c r="H10" s="146"/>
      <c r="I10" s="43"/>
    </row>
    <row r="11" spans="1:9" x14ac:dyDescent="0.25">
      <c r="A11" s="16"/>
      <c r="B11" s="16"/>
      <c r="C11" s="16"/>
      <c r="D11" s="16"/>
      <c r="E11" s="43">
        <f t="shared" si="0"/>
        <v>0</v>
      </c>
      <c r="F11" s="16"/>
      <c r="G11" s="16"/>
      <c r="H11" s="16"/>
      <c r="I11" s="43"/>
    </row>
    <row r="12" spans="1:9" x14ac:dyDescent="0.25">
      <c r="A12" s="16"/>
      <c r="B12" s="16"/>
      <c r="C12" s="16"/>
      <c r="D12" s="16"/>
      <c r="E12" s="43">
        <f t="shared" si="0"/>
        <v>0</v>
      </c>
      <c r="F12" s="16"/>
      <c r="G12" s="16"/>
      <c r="H12" s="16"/>
      <c r="I12" s="43"/>
    </row>
    <row r="13" spans="1:9" s="5" customFormat="1" x14ac:dyDescent="0.25">
      <c r="A13" s="5" t="s">
        <v>68</v>
      </c>
      <c r="E13" s="20">
        <f>SUM(E6:E12)</f>
        <v>28400</v>
      </c>
      <c r="I13" s="20">
        <f>SUM(I6:I12)</f>
        <v>2633.3333333333335</v>
      </c>
    </row>
    <row r="15" spans="1:9" ht="60" x14ac:dyDescent="0.25">
      <c r="A15" s="141" t="s">
        <v>67</v>
      </c>
      <c r="B15" s="141" t="s">
        <v>56</v>
      </c>
      <c r="C15" s="142" t="s">
        <v>52</v>
      </c>
      <c r="D15" s="142" t="s">
        <v>111</v>
      </c>
      <c r="E15" s="142" t="s">
        <v>9</v>
      </c>
      <c r="F15" s="142" t="s">
        <v>10</v>
      </c>
      <c r="G15" s="142" t="s">
        <v>1</v>
      </c>
      <c r="H15" s="142" t="s">
        <v>112</v>
      </c>
      <c r="I15" s="142" t="s">
        <v>11</v>
      </c>
    </row>
    <row r="16" spans="1:9" x14ac:dyDescent="0.25">
      <c r="A16" s="16" t="s">
        <v>48</v>
      </c>
      <c r="B16" s="143">
        <v>1</v>
      </c>
      <c r="C16" s="144" t="s">
        <v>113</v>
      </c>
      <c r="D16" s="106">
        <v>5000</v>
      </c>
      <c r="E16" s="43">
        <f>B16*D16</f>
        <v>5000</v>
      </c>
      <c r="F16" s="145">
        <v>12</v>
      </c>
      <c r="G16" s="145">
        <v>0</v>
      </c>
      <c r="H16" s="146">
        <v>1</v>
      </c>
      <c r="I16" s="43">
        <f>((E16-G16)/F16)*H16</f>
        <v>416.66666666666669</v>
      </c>
    </row>
    <row r="17" spans="1:9" x14ac:dyDescent="0.25">
      <c r="A17" s="16" t="s">
        <v>65</v>
      </c>
      <c r="B17" s="143">
        <v>1</v>
      </c>
      <c r="C17" s="144" t="s">
        <v>113</v>
      </c>
      <c r="D17" s="106">
        <v>12000</v>
      </c>
      <c r="E17" s="43">
        <f t="shared" ref="E17:E25" si="2">B17*D17</f>
        <v>12000</v>
      </c>
      <c r="F17" s="145">
        <v>12</v>
      </c>
      <c r="G17" s="145">
        <v>0</v>
      </c>
      <c r="H17" s="146">
        <v>1</v>
      </c>
      <c r="I17" s="43">
        <f t="shared" ref="I17:I20" si="3">((E17-G17)/F17)*H17</f>
        <v>1000</v>
      </c>
    </row>
    <row r="18" spans="1:9" x14ac:dyDescent="0.25">
      <c r="A18" s="16" t="s">
        <v>2</v>
      </c>
      <c r="B18" s="143">
        <v>1</v>
      </c>
      <c r="C18" s="144" t="s">
        <v>113</v>
      </c>
      <c r="D18" s="106">
        <v>10000</v>
      </c>
      <c r="E18" s="43">
        <f t="shared" si="2"/>
        <v>10000</v>
      </c>
      <c r="F18" s="145">
        <v>12</v>
      </c>
      <c r="G18" s="145">
        <v>0</v>
      </c>
      <c r="H18" s="146">
        <v>1</v>
      </c>
      <c r="I18" s="43">
        <f t="shared" si="3"/>
        <v>833.33333333333337</v>
      </c>
    </row>
    <row r="19" spans="1:9" x14ac:dyDescent="0.25">
      <c r="A19" s="16" t="s">
        <v>3</v>
      </c>
      <c r="B19" s="143">
        <v>1</v>
      </c>
      <c r="C19" s="144" t="s">
        <v>113</v>
      </c>
      <c r="D19" s="106">
        <v>12000</v>
      </c>
      <c r="E19" s="43">
        <f t="shared" si="2"/>
        <v>12000</v>
      </c>
      <c r="F19" s="145">
        <v>12</v>
      </c>
      <c r="G19" s="145">
        <v>0</v>
      </c>
      <c r="H19" s="146">
        <v>1</v>
      </c>
      <c r="I19" s="43">
        <f t="shared" si="3"/>
        <v>1000</v>
      </c>
    </row>
    <row r="20" spans="1:9" x14ac:dyDescent="0.25">
      <c r="A20" s="16" t="s">
        <v>4</v>
      </c>
      <c r="B20" s="143">
        <v>3</v>
      </c>
      <c r="C20" s="144" t="s">
        <v>113</v>
      </c>
      <c r="D20" s="106">
        <v>100</v>
      </c>
      <c r="E20" s="43">
        <f t="shared" si="2"/>
        <v>300</v>
      </c>
      <c r="F20" s="145">
        <v>12</v>
      </c>
      <c r="G20" s="145">
        <v>0</v>
      </c>
      <c r="H20" s="146">
        <v>1</v>
      </c>
      <c r="I20" s="43">
        <f t="shared" si="3"/>
        <v>25</v>
      </c>
    </row>
    <row r="21" spans="1:9" x14ac:dyDescent="0.25">
      <c r="A21" s="147" t="s">
        <v>115</v>
      </c>
      <c r="B21" s="143"/>
      <c r="C21" s="144"/>
      <c r="D21" s="106"/>
      <c r="E21" s="43">
        <f t="shared" si="2"/>
        <v>0</v>
      </c>
      <c r="F21" s="145"/>
      <c r="G21" s="145"/>
      <c r="H21" s="146"/>
      <c r="I21" s="43"/>
    </row>
    <row r="22" spans="1:9" x14ac:dyDescent="0.25">
      <c r="A22" s="147" t="s">
        <v>116</v>
      </c>
      <c r="B22" s="143"/>
      <c r="C22" s="144"/>
      <c r="D22" s="106"/>
      <c r="E22" s="43">
        <f t="shared" si="2"/>
        <v>0</v>
      </c>
      <c r="F22" s="145"/>
      <c r="G22" s="145"/>
      <c r="H22" s="146"/>
      <c r="I22" s="43"/>
    </row>
    <row r="23" spans="1:9" x14ac:dyDescent="0.25">
      <c r="A23" s="16"/>
      <c r="B23" s="143"/>
      <c r="C23" s="144"/>
      <c r="D23" s="106"/>
      <c r="E23" s="43">
        <f t="shared" si="2"/>
        <v>0</v>
      </c>
      <c r="F23" s="145"/>
      <c r="G23" s="145"/>
      <c r="H23" s="146"/>
      <c r="I23" s="43"/>
    </row>
    <row r="24" spans="1:9" x14ac:dyDescent="0.25">
      <c r="A24" s="16"/>
      <c r="B24" s="16"/>
      <c r="C24" s="16"/>
      <c r="D24" s="16"/>
      <c r="E24" s="43">
        <f t="shared" si="2"/>
        <v>0</v>
      </c>
      <c r="F24" s="16"/>
      <c r="G24" s="16"/>
      <c r="H24" s="16"/>
      <c r="I24" s="43"/>
    </row>
    <row r="25" spans="1:9" x14ac:dyDescent="0.25">
      <c r="A25" s="16"/>
      <c r="B25" s="16"/>
      <c r="C25" s="16"/>
      <c r="D25" s="16"/>
      <c r="E25" s="43">
        <f t="shared" si="2"/>
        <v>0</v>
      </c>
      <c r="F25" s="16"/>
      <c r="G25" s="16"/>
      <c r="H25" s="16"/>
      <c r="I25" s="43"/>
    </row>
    <row r="26" spans="1:9" x14ac:dyDescent="0.25">
      <c r="A26" s="5" t="s">
        <v>69</v>
      </c>
      <c r="B26" s="5"/>
      <c r="C26" s="5"/>
      <c r="D26" s="5"/>
      <c r="E26" s="70">
        <f>SUM(E16:E25)</f>
        <v>39300</v>
      </c>
      <c r="F26" s="5"/>
      <c r="G26" s="5"/>
      <c r="H26" s="5"/>
      <c r="I26" s="70">
        <f>SUM(I16:I25)</f>
        <v>3275</v>
      </c>
    </row>
    <row r="28" spans="1:9" x14ac:dyDescent="0.25">
      <c r="A28" s="5" t="s">
        <v>70</v>
      </c>
      <c r="B28" s="5"/>
      <c r="C28" s="5"/>
      <c r="D28" s="5"/>
      <c r="E28" s="70">
        <f>E13+E26</f>
        <v>67700</v>
      </c>
      <c r="F28" s="5"/>
      <c r="G28" s="5"/>
      <c r="H28" s="5"/>
      <c r="I28" s="70">
        <f>I13+I26</f>
        <v>5908.3333333333339</v>
      </c>
    </row>
  </sheetData>
  <printOptions headings="1" gridLines="1"/>
  <pageMargins left="0.7" right="0.7" top="0.75" bottom="0.75" header="0.3" footer="0.3"/>
  <pageSetup scale="94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  <pageSetUpPr fitToPage="1"/>
  </sheetPr>
  <dimension ref="A1:I48"/>
  <sheetViews>
    <sheetView topLeftCell="A19" zoomScaleNormal="100" workbookViewId="0">
      <selection activeCell="A36" sqref="A36:XFD36"/>
    </sheetView>
  </sheetViews>
  <sheetFormatPr defaultRowHeight="15" x14ac:dyDescent="0.25"/>
  <cols>
    <col min="1" max="1" width="6" customWidth="1"/>
    <col min="2" max="2" width="21" customWidth="1"/>
    <col min="3" max="3" width="13.5703125" style="10" customWidth="1"/>
    <col min="4" max="5" width="13.5703125" customWidth="1"/>
    <col min="6" max="6" width="13.5703125" style="2" customWidth="1"/>
    <col min="7" max="8" width="13.5703125" customWidth="1"/>
    <col min="9" max="9" width="13.5703125" style="10" customWidth="1"/>
  </cols>
  <sheetData>
    <row r="1" spans="1:9" ht="18.75" x14ac:dyDescent="0.3">
      <c r="A1" s="67" t="s">
        <v>12</v>
      </c>
    </row>
    <row r="2" spans="1:9" x14ac:dyDescent="0.25">
      <c r="A2" t="s">
        <v>71</v>
      </c>
    </row>
    <row r="3" spans="1:9" x14ac:dyDescent="0.25">
      <c r="A3" t="s">
        <v>13</v>
      </c>
    </row>
    <row r="4" spans="1:9" x14ac:dyDescent="0.25">
      <c r="A4" t="s">
        <v>37</v>
      </c>
      <c r="D4" s="9">
        <f>Assumptions!B8</f>
        <v>3</v>
      </c>
    </row>
    <row r="5" spans="1:9" ht="15.75" thickBot="1" x14ac:dyDescent="0.3"/>
    <row r="6" spans="1:9" x14ac:dyDescent="0.25">
      <c r="A6" s="87" t="s">
        <v>60</v>
      </c>
      <c r="B6" s="88"/>
      <c r="C6" s="89"/>
      <c r="D6" s="88"/>
      <c r="E6" s="88"/>
      <c r="F6" s="90"/>
    </row>
    <row r="7" spans="1:9" ht="15.75" thickBot="1" x14ac:dyDescent="0.3">
      <c r="A7" s="126" t="s">
        <v>0</v>
      </c>
      <c r="B7" s="127"/>
      <c r="C7" s="128" t="s">
        <v>8</v>
      </c>
      <c r="D7" s="128" t="s">
        <v>52</v>
      </c>
      <c r="E7" s="128" t="s">
        <v>117</v>
      </c>
      <c r="F7" s="129" t="s">
        <v>15</v>
      </c>
    </row>
    <row r="8" spans="1:9" x14ac:dyDescent="0.25">
      <c r="A8" s="115" t="s">
        <v>118</v>
      </c>
      <c r="B8" s="116"/>
      <c r="C8" s="124">
        <f>Assumptions!G20*Assumptions!B17</f>
        <v>343750</v>
      </c>
      <c r="D8" s="130" t="s">
        <v>113</v>
      </c>
      <c r="E8" s="119">
        <f>Assumptions!B19</f>
        <v>0.4</v>
      </c>
      <c r="F8" s="125">
        <f>E8*C8</f>
        <v>137500</v>
      </c>
    </row>
    <row r="9" spans="1:9" x14ac:dyDescent="0.25">
      <c r="A9" s="91" t="s">
        <v>119</v>
      </c>
      <c r="B9" s="16"/>
      <c r="C9" s="84">
        <f>Assumptions!B4*Assumptions!B18</f>
        <v>3750</v>
      </c>
      <c r="D9" s="131" t="s">
        <v>120</v>
      </c>
      <c r="E9" s="85">
        <f>Assumptions!B20</f>
        <v>40</v>
      </c>
      <c r="F9" s="125">
        <f>E9*C9</f>
        <v>150000</v>
      </c>
    </row>
    <row r="10" spans="1:9" x14ac:dyDescent="0.25">
      <c r="A10" s="91" t="s">
        <v>16</v>
      </c>
      <c r="B10" s="16"/>
      <c r="C10" s="83"/>
      <c r="D10" s="131"/>
      <c r="E10" s="16"/>
      <c r="F10" s="44"/>
    </row>
    <row r="11" spans="1:9" ht="15.75" thickBot="1" x14ac:dyDescent="0.3">
      <c r="A11" s="92" t="s">
        <v>61</v>
      </c>
      <c r="B11" s="93"/>
      <c r="C11" s="94"/>
      <c r="D11" s="132"/>
      <c r="E11" s="93"/>
      <c r="F11" s="95">
        <f>SUM(F8:F10)</f>
        <v>287500</v>
      </c>
    </row>
    <row r="12" spans="1:9" ht="15.75" thickBot="1" x14ac:dyDescent="0.3"/>
    <row r="13" spans="1:9" x14ac:dyDescent="0.25">
      <c r="A13" s="87" t="s">
        <v>17</v>
      </c>
      <c r="B13" s="107"/>
      <c r="C13" s="89"/>
      <c r="D13" s="88"/>
      <c r="E13" s="88"/>
      <c r="F13" s="108"/>
      <c r="G13" s="88"/>
      <c r="H13" s="88"/>
      <c r="I13" s="109"/>
    </row>
    <row r="14" spans="1:9" s="68" customFormat="1" ht="30.75" thickBot="1" x14ac:dyDescent="0.3">
      <c r="A14" s="149" t="s">
        <v>0</v>
      </c>
      <c r="B14" s="150"/>
      <c r="C14" s="121" t="s">
        <v>8</v>
      </c>
      <c r="D14" s="121" t="s">
        <v>52</v>
      </c>
      <c r="E14" s="121" t="s">
        <v>117</v>
      </c>
      <c r="F14" s="122" t="s">
        <v>15</v>
      </c>
      <c r="G14" s="121" t="s">
        <v>121</v>
      </c>
      <c r="H14" s="121" t="s">
        <v>122</v>
      </c>
      <c r="I14" s="123" t="s">
        <v>123</v>
      </c>
    </row>
    <row r="15" spans="1:9" x14ac:dyDescent="0.25">
      <c r="A15" s="115" t="s">
        <v>41</v>
      </c>
      <c r="B15" s="116"/>
      <c r="C15" s="117">
        <f>Assumptions!G25/1000</f>
        <v>3666.6666666666665</v>
      </c>
      <c r="D15" s="130" t="s">
        <v>127</v>
      </c>
      <c r="E15" s="118">
        <f>Assumptions!B13</f>
        <v>0.01</v>
      </c>
      <c r="F15" s="50">
        <f>C15*E15</f>
        <v>36.666666666666664</v>
      </c>
      <c r="G15" s="119">
        <f>F15/Assumptions!$G$20</f>
        <v>2.6666666666666667E-5</v>
      </c>
      <c r="H15" s="119">
        <f>F15/Assumptions!$B$4</f>
        <v>7.3333333333333332E-3</v>
      </c>
      <c r="I15" s="120">
        <f>F15/$F$41</f>
        <v>5.5675239324065346E-4</v>
      </c>
    </row>
    <row r="16" spans="1:9" x14ac:dyDescent="0.25">
      <c r="A16" s="91" t="s">
        <v>7</v>
      </c>
      <c r="B16" s="16"/>
      <c r="C16" s="83"/>
      <c r="D16" s="131"/>
      <c r="E16" s="98"/>
      <c r="F16" s="43"/>
      <c r="G16" s="99"/>
      <c r="H16" s="99"/>
      <c r="I16" s="110">
        <f>F16/$F$41</f>
        <v>0</v>
      </c>
    </row>
    <row r="17" spans="1:9" x14ac:dyDescent="0.25">
      <c r="A17" s="91"/>
      <c r="B17" s="16" t="s">
        <v>140</v>
      </c>
      <c r="C17" s="100">
        <f>Assumptions!G6*Assumptions!G7</f>
        <v>1040</v>
      </c>
      <c r="D17" s="131" t="s">
        <v>86</v>
      </c>
      <c r="E17" s="98">
        <f>Assumptions!G5</f>
        <v>7.5</v>
      </c>
      <c r="F17" s="43">
        <f t="shared" ref="F17:F21" si="0">C17*E17</f>
        <v>7800</v>
      </c>
      <c r="G17" s="99">
        <f>F17/Assumptions!$G$20</f>
        <v>5.6727272727272729E-3</v>
      </c>
      <c r="H17" s="99">
        <f>F17/Assumptions!$B$4</f>
        <v>1.56</v>
      </c>
      <c r="I17" s="110">
        <f>F17/$F$41</f>
        <v>0.11843641819846629</v>
      </c>
    </row>
    <row r="18" spans="1:9" x14ac:dyDescent="0.25">
      <c r="A18" s="91"/>
      <c r="B18" s="16" t="s">
        <v>141</v>
      </c>
      <c r="C18" s="101">
        <f>Assumptions!G9*Assumptions!G10</f>
        <v>2080</v>
      </c>
      <c r="D18" s="131" t="s">
        <v>86</v>
      </c>
      <c r="E18" s="85">
        <f>Assumptions!G8</f>
        <v>15</v>
      </c>
      <c r="F18" s="98">
        <f>E18*C18</f>
        <v>31200</v>
      </c>
      <c r="G18" s="99">
        <f>F18/Assumptions!$G$20</f>
        <v>2.2690909090909091E-2</v>
      </c>
      <c r="H18" s="99">
        <f>F18/Assumptions!$B$4</f>
        <v>6.24</v>
      </c>
      <c r="I18" s="110">
        <f>F18/$F$41</f>
        <v>0.47374567279386515</v>
      </c>
    </row>
    <row r="19" spans="1:9" x14ac:dyDescent="0.25">
      <c r="A19" s="91" t="s">
        <v>6</v>
      </c>
      <c r="B19" s="16"/>
      <c r="C19" s="101"/>
      <c r="D19" s="131" t="s">
        <v>87</v>
      </c>
      <c r="E19" s="98"/>
      <c r="F19" s="43">
        <f>Assumptions!B14</f>
        <v>2000</v>
      </c>
      <c r="G19" s="99">
        <f>F19/Assumptions!$G$20</f>
        <v>1.4545454545454545E-3</v>
      </c>
      <c r="H19" s="99">
        <f>F19/Assumptions!$B$4</f>
        <v>0.4</v>
      </c>
      <c r="I19" s="110">
        <f>F19/$F$41</f>
        <v>3.0368312358581097E-2</v>
      </c>
    </row>
    <row r="20" spans="1:9" x14ac:dyDescent="0.25">
      <c r="A20" s="91" t="s">
        <v>18</v>
      </c>
      <c r="B20" s="16"/>
      <c r="C20" s="83"/>
      <c r="D20" s="131" t="s">
        <v>87</v>
      </c>
      <c r="E20" s="16"/>
      <c r="F20" s="102">
        <f>Assumptions!G11</f>
        <v>2000</v>
      </c>
      <c r="G20" s="99">
        <f>F20/Assumptions!$G$20</f>
        <v>1.4545454545454545E-3</v>
      </c>
      <c r="H20" s="99">
        <f>F20/Assumptions!$B$4</f>
        <v>0.4</v>
      </c>
      <c r="I20" s="110">
        <f>F20/$F$41</f>
        <v>3.0368312358581097E-2</v>
      </c>
    </row>
    <row r="21" spans="1:9" x14ac:dyDescent="0.25">
      <c r="A21" s="91" t="s">
        <v>19</v>
      </c>
      <c r="B21" s="16"/>
      <c r="C21" s="103">
        <f>ROUNDUP((C8/Assumptions!B21),0)</f>
        <v>3438</v>
      </c>
      <c r="D21" s="131" t="s">
        <v>128</v>
      </c>
      <c r="E21" s="98">
        <f>Assumptions!B22</f>
        <v>1</v>
      </c>
      <c r="F21" s="43">
        <f t="shared" si="0"/>
        <v>3438</v>
      </c>
      <c r="G21" s="99">
        <f>F21/Assumptions!$G$20</f>
        <v>2.5003636363636365E-3</v>
      </c>
      <c r="H21" s="99">
        <f>F21/Assumptions!$B$4</f>
        <v>0.68759999999999999</v>
      </c>
      <c r="I21" s="110">
        <f>F21/$F$41</f>
        <v>5.2203128944400906E-2</v>
      </c>
    </row>
    <row r="22" spans="1:9" x14ac:dyDescent="0.25">
      <c r="A22" s="91" t="s">
        <v>20</v>
      </c>
      <c r="B22" s="16"/>
      <c r="C22" s="83"/>
      <c r="D22" s="16"/>
      <c r="E22" s="98"/>
      <c r="F22" s="104">
        <f>Assumptions!B23</f>
        <v>2000</v>
      </c>
      <c r="G22" s="99">
        <f>F22/Assumptions!$G$20</f>
        <v>1.4545454545454545E-3</v>
      </c>
      <c r="H22" s="99">
        <f>F22/Assumptions!$B$4</f>
        <v>0.4</v>
      </c>
      <c r="I22" s="110">
        <f>F22/$F$41</f>
        <v>3.0368312358581097E-2</v>
      </c>
    </row>
    <row r="23" spans="1:9" x14ac:dyDescent="0.25">
      <c r="A23" s="91" t="s">
        <v>16</v>
      </c>
      <c r="B23" s="16"/>
      <c r="C23" s="105"/>
      <c r="D23" s="16"/>
      <c r="E23" s="16"/>
      <c r="F23" s="43"/>
      <c r="G23" s="99">
        <f>F23/Assumptions!$G$20</f>
        <v>0</v>
      </c>
      <c r="H23" s="99">
        <f>F23/Assumptions!$B$4</f>
        <v>0</v>
      </c>
      <c r="I23" s="110">
        <f>F23/$F$41</f>
        <v>0</v>
      </c>
    </row>
    <row r="24" spans="1:9" x14ac:dyDescent="0.25">
      <c r="A24" s="91" t="s">
        <v>16</v>
      </c>
      <c r="B24" s="16"/>
      <c r="C24" s="105"/>
      <c r="D24" s="16"/>
      <c r="E24" s="16"/>
      <c r="F24" s="43"/>
      <c r="G24" s="99">
        <f>F24/Assumptions!$G$20</f>
        <v>0</v>
      </c>
      <c r="H24" s="99">
        <f>F24/Assumptions!$B$4</f>
        <v>0</v>
      </c>
      <c r="I24" s="110">
        <f>F24/$F$41</f>
        <v>0</v>
      </c>
    </row>
    <row r="25" spans="1:9" x14ac:dyDescent="0.25">
      <c r="A25" s="91" t="s">
        <v>16</v>
      </c>
      <c r="B25" s="16"/>
      <c r="C25" s="105"/>
      <c r="D25" s="16"/>
      <c r="E25" s="16"/>
      <c r="F25" s="43"/>
      <c r="G25" s="99">
        <f>F25/Assumptions!$G$20</f>
        <v>0</v>
      </c>
      <c r="H25" s="99">
        <f>F25/Assumptions!$B$4</f>
        <v>0</v>
      </c>
      <c r="I25" s="110">
        <f>F25/$F$41</f>
        <v>0</v>
      </c>
    </row>
    <row r="26" spans="1:9" x14ac:dyDescent="0.25">
      <c r="A26" s="91" t="s">
        <v>16</v>
      </c>
      <c r="B26" s="16"/>
      <c r="C26" s="105"/>
      <c r="D26" s="16"/>
      <c r="E26" s="16"/>
      <c r="F26" s="43"/>
      <c r="G26" s="99">
        <f>F26/Assumptions!$G$20</f>
        <v>0</v>
      </c>
      <c r="H26" s="99">
        <f>F26/Assumptions!$B$4</f>
        <v>0</v>
      </c>
      <c r="I26" s="110">
        <f>F26/$F$41</f>
        <v>0</v>
      </c>
    </row>
    <row r="27" spans="1:9" x14ac:dyDescent="0.25">
      <c r="A27" s="91" t="s">
        <v>21</v>
      </c>
      <c r="B27" s="16"/>
      <c r="C27" s="105">
        <f>Assumptions!G14</f>
        <v>0.05</v>
      </c>
      <c r="D27" s="16" t="s">
        <v>129</v>
      </c>
      <c r="E27" s="16"/>
      <c r="F27" s="43">
        <f>C27*(SUM(F15:F26))</f>
        <v>2423.7333333333331</v>
      </c>
      <c r="G27" s="99">
        <f>F27/Assumptions!$G$20</f>
        <v>1.7627151515151513E-3</v>
      </c>
      <c r="H27" s="99">
        <f>F27/Assumptions!$B$4</f>
        <v>0.4847466666666666</v>
      </c>
      <c r="I27" s="110">
        <f>F27/$F$41</f>
        <v>3.680234547028581E-2</v>
      </c>
    </row>
    <row r="28" spans="1:9" x14ac:dyDescent="0.25">
      <c r="A28" s="91" t="s">
        <v>124</v>
      </c>
      <c r="B28" s="16"/>
      <c r="C28" s="83"/>
      <c r="D28" s="16"/>
      <c r="E28" s="16"/>
      <c r="F28" s="43">
        <f>Assumptions!G15*(SUM(F15:F27))</f>
        <v>3562.8879999999999</v>
      </c>
      <c r="G28" s="99">
        <f>F28/Assumptions!$G$20</f>
        <v>2.5911912727272727E-3</v>
      </c>
      <c r="H28" s="99">
        <f>F28/Assumptions!$B$4</f>
        <v>0.71257760000000003</v>
      </c>
      <c r="I28" s="110">
        <f>F28/$F$41</f>
        <v>5.4099447841320147E-2</v>
      </c>
    </row>
    <row r="29" spans="1:9" x14ac:dyDescent="0.25">
      <c r="A29" s="111" t="s">
        <v>62</v>
      </c>
      <c r="B29" s="82"/>
      <c r="C29" s="75"/>
      <c r="D29" s="82"/>
      <c r="E29" s="82"/>
      <c r="F29" s="86">
        <f>SUM(F15:F28)</f>
        <v>54461.287999999993</v>
      </c>
      <c r="G29" s="99">
        <f>F29/Assumptions!$G$20</f>
        <v>3.9608209454545448E-2</v>
      </c>
      <c r="H29" s="139">
        <f>F29/Assumptions!$B$4</f>
        <v>10.892257599999999</v>
      </c>
      <c r="I29" s="110">
        <f>F29/$F$41</f>
        <v>0.82694870271732213</v>
      </c>
    </row>
    <row r="30" spans="1:9" x14ac:dyDescent="0.25">
      <c r="A30" s="91"/>
      <c r="B30" s="16"/>
      <c r="C30" s="83"/>
      <c r="D30" s="16"/>
      <c r="E30" s="16"/>
      <c r="F30" s="43"/>
      <c r="G30" s="85"/>
      <c r="H30" s="85"/>
      <c r="I30" s="110"/>
    </row>
    <row r="31" spans="1:9" x14ac:dyDescent="0.25">
      <c r="A31" s="111" t="s">
        <v>27</v>
      </c>
      <c r="B31" s="16"/>
      <c r="C31" s="83"/>
      <c r="D31" s="16"/>
      <c r="E31" s="16"/>
      <c r="F31" s="43"/>
      <c r="G31" s="85"/>
      <c r="H31" s="85"/>
      <c r="I31" s="110"/>
    </row>
    <row r="32" spans="1:9" s="5" customFormat="1" ht="30" x14ac:dyDescent="0.25">
      <c r="A32" s="151" t="s">
        <v>0</v>
      </c>
      <c r="B32" s="152"/>
      <c r="C32" s="96" t="s">
        <v>8</v>
      </c>
      <c r="D32" s="96" t="s">
        <v>52</v>
      </c>
      <c r="E32" s="96" t="s">
        <v>117</v>
      </c>
      <c r="F32" s="97" t="s">
        <v>15</v>
      </c>
      <c r="G32" s="96" t="s">
        <v>121</v>
      </c>
      <c r="H32" s="96" t="s">
        <v>122</v>
      </c>
      <c r="I32" s="112"/>
    </row>
    <row r="33" spans="1:9" x14ac:dyDescent="0.25">
      <c r="A33" s="91" t="s">
        <v>22</v>
      </c>
      <c r="B33" s="16"/>
      <c r="C33" s="83">
        <v>1</v>
      </c>
      <c r="D33" s="16" t="s">
        <v>31</v>
      </c>
      <c r="E33" s="98"/>
      <c r="F33" s="104">
        <f>Assumptions!G12</f>
        <v>1000</v>
      </c>
      <c r="G33" s="133">
        <f>F33/Assumptions!$G$20</f>
        <v>7.2727272727272723E-4</v>
      </c>
      <c r="H33" s="99">
        <f>F33/Assumptions!$B$4</f>
        <v>0.2</v>
      </c>
      <c r="I33" s="110">
        <f>F33/$F$41</f>
        <v>1.5184156179290548E-2</v>
      </c>
    </row>
    <row r="34" spans="1:9" x14ac:dyDescent="0.25">
      <c r="A34" s="91" t="s">
        <v>23</v>
      </c>
      <c r="B34" s="16"/>
      <c r="C34" s="83">
        <f>Assumptions!B6</f>
        <v>15</v>
      </c>
      <c r="D34" s="16" t="s">
        <v>85</v>
      </c>
      <c r="E34" s="85">
        <f>Assumptions!G4</f>
        <v>3.5</v>
      </c>
      <c r="F34" s="43">
        <f>C34*E34</f>
        <v>52.5</v>
      </c>
      <c r="G34" s="133">
        <f>F34/Assumptions!$G$20</f>
        <v>3.818181818181818E-5</v>
      </c>
      <c r="H34" s="99">
        <f>F34/Assumptions!$B$4</f>
        <v>1.0500000000000001E-2</v>
      </c>
      <c r="I34" s="110">
        <f>F34/$F$41</f>
        <v>7.9716819941275379E-4</v>
      </c>
    </row>
    <row r="35" spans="1:9" x14ac:dyDescent="0.25">
      <c r="A35" s="91" t="s">
        <v>24</v>
      </c>
      <c r="B35" s="16"/>
      <c r="C35" s="83"/>
      <c r="D35" s="16"/>
      <c r="E35" s="16"/>
      <c r="F35" s="104">
        <f>Assumptions!G13</f>
        <v>1000</v>
      </c>
      <c r="G35" s="99">
        <f>F35/Assumptions!$G$20</f>
        <v>7.2727272727272723E-4</v>
      </c>
      <c r="H35" s="99">
        <f>F35/Assumptions!$B$4</f>
        <v>0.2</v>
      </c>
      <c r="I35" s="110">
        <f>F35/$F$41</f>
        <v>1.5184156179290548E-2</v>
      </c>
    </row>
    <row r="36" spans="1:9" x14ac:dyDescent="0.25">
      <c r="A36" s="91" t="s">
        <v>43</v>
      </c>
      <c r="B36" s="16"/>
      <c r="C36" s="83"/>
      <c r="D36" s="16"/>
      <c r="E36" s="16"/>
      <c r="F36" s="43">
        <f>0.04*'Bottom Prep and Capital Cost'!E13</f>
        <v>1136</v>
      </c>
      <c r="G36" s="133">
        <f>F36/Assumptions!$G$20</f>
        <v>8.2618181818181814E-4</v>
      </c>
      <c r="H36" s="99">
        <f>F36/Assumptions!$B$4</f>
        <v>0.22720000000000001</v>
      </c>
      <c r="I36" s="110">
        <f>F36/$F$41</f>
        <v>1.7249201419674065E-2</v>
      </c>
    </row>
    <row r="37" spans="1:9" x14ac:dyDescent="0.25">
      <c r="A37" s="91" t="s">
        <v>26</v>
      </c>
      <c r="B37" s="16"/>
      <c r="C37" s="83"/>
      <c r="D37" s="16"/>
      <c r="E37" s="16"/>
      <c r="F37" s="104">
        <f>Assumptions!G16</f>
        <v>2300</v>
      </c>
      <c r="G37" s="133">
        <f>F37/Assumptions!$G$20</f>
        <v>1.6727272727272728E-3</v>
      </c>
      <c r="H37" s="99">
        <f>F37/Assumptions!$B$4</f>
        <v>0.46</v>
      </c>
      <c r="I37" s="110">
        <f>F37/$F$41</f>
        <v>3.4923559212368262E-2</v>
      </c>
    </row>
    <row r="38" spans="1:9" x14ac:dyDescent="0.25">
      <c r="A38" s="91" t="s">
        <v>25</v>
      </c>
      <c r="B38" s="16"/>
      <c r="C38" s="83"/>
      <c r="D38" s="16"/>
      <c r="E38" s="16"/>
      <c r="F38" s="43">
        <f>'Bottom Prep and Capital Cost'!I28</f>
        <v>5908.3333333333339</v>
      </c>
      <c r="G38" s="133">
        <f>F38/Assumptions!$G$20</f>
        <v>4.2969696969696975E-3</v>
      </c>
      <c r="H38" s="99">
        <f>F38/Assumptions!$B$4</f>
        <v>1.1816666666666669</v>
      </c>
      <c r="I38" s="110">
        <f>F38/$F$41</f>
        <v>8.9713056092641671E-2</v>
      </c>
    </row>
    <row r="39" spans="1:9" x14ac:dyDescent="0.25">
      <c r="A39" s="111" t="s">
        <v>28</v>
      </c>
      <c r="B39" s="82"/>
      <c r="C39" s="75"/>
      <c r="D39" s="82"/>
      <c r="E39" s="82"/>
      <c r="F39" s="86">
        <f>SUM(F33:F38)</f>
        <v>11396.833333333334</v>
      </c>
      <c r="G39" s="133">
        <f>F39/Assumptions!$G$20</f>
        <v>8.2886060606060605E-3</v>
      </c>
      <c r="H39" s="99">
        <f>F39/Assumptions!$B$4</f>
        <v>2.2793666666666668</v>
      </c>
      <c r="I39" s="110">
        <f>F39/$F$41</f>
        <v>0.17305129728267785</v>
      </c>
    </row>
    <row r="40" spans="1:9" x14ac:dyDescent="0.25">
      <c r="A40" s="91"/>
      <c r="B40" s="16"/>
      <c r="C40" s="83"/>
      <c r="D40" s="16"/>
      <c r="E40" s="16"/>
      <c r="F40" s="43"/>
      <c r="G40" s="85"/>
      <c r="H40" s="85"/>
      <c r="I40" s="110"/>
    </row>
    <row r="41" spans="1:9" ht="15.75" thickBot="1" x14ac:dyDescent="0.3">
      <c r="A41" s="92" t="s">
        <v>29</v>
      </c>
      <c r="B41" s="93"/>
      <c r="C41" s="94"/>
      <c r="D41" s="93"/>
      <c r="E41" s="93"/>
      <c r="F41" s="113">
        <f>F39+F29</f>
        <v>65858.121333333329</v>
      </c>
      <c r="G41" s="134">
        <f>F41/Assumptions!$G$20</f>
        <v>4.7896815515151514E-2</v>
      </c>
      <c r="H41" s="140">
        <f>F41/Assumptions!$B$4</f>
        <v>13.171624266666665</v>
      </c>
      <c r="I41" s="114">
        <f>F41/$F$41</f>
        <v>1</v>
      </c>
    </row>
    <row r="42" spans="1:9" x14ac:dyDescent="0.25">
      <c r="G42" s="4"/>
      <c r="H42" s="4"/>
    </row>
    <row r="43" spans="1:9" x14ac:dyDescent="0.25">
      <c r="A43" s="5" t="s">
        <v>125</v>
      </c>
      <c r="B43" s="5"/>
      <c r="C43" s="27"/>
      <c r="D43" s="5"/>
      <c r="E43" s="5"/>
      <c r="F43" s="20">
        <f>F11-F41</f>
        <v>221641.87866666669</v>
      </c>
      <c r="G43" s="7"/>
      <c r="H43" s="7"/>
    </row>
    <row r="45" spans="1:9" s="5" customFormat="1" ht="18.75" x14ac:dyDescent="0.3">
      <c r="B45" s="67" t="s">
        <v>58</v>
      </c>
      <c r="F45" s="70"/>
      <c r="I45" s="27"/>
    </row>
    <row r="46" spans="1:9" ht="30" x14ac:dyDescent="0.25">
      <c r="B46" s="53"/>
      <c r="C46" s="69" t="s">
        <v>126</v>
      </c>
      <c r="D46" s="148" t="s">
        <v>125</v>
      </c>
      <c r="F46" s="3"/>
    </row>
    <row r="47" spans="1:9" x14ac:dyDescent="0.25">
      <c r="B47" s="56" t="s">
        <v>121</v>
      </c>
      <c r="C47" s="135">
        <f>G41</f>
        <v>4.7896815515151514E-2</v>
      </c>
      <c r="D47" s="136">
        <f>F43/Assumptions!G20</f>
        <v>0.16119409357575759</v>
      </c>
      <c r="F47" s="3"/>
    </row>
    <row r="48" spans="1:9" x14ac:dyDescent="0.25">
      <c r="B48" s="58" t="s">
        <v>122</v>
      </c>
      <c r="C48" s="64">
        <f>H41</f>
        <v>13.171624266666665</v>
      </c>
      <c r="D48" s="65">
        <f>F43/Assumptions!B4</f>
        <v>44.328375733333338</v>
      </c>
    </row>
  </sheetData>
  <mergeCells count="2">
    <mergeCell ref="A14:B14"/>
    <mergeCell ref="A32:B32"/>
  </mergeCells>
  <printOptions headings="1" gridLines="1"/>
  <pageMargins left="0.7" right="0.7" top="0.75" bottom="0.75" header="0.3" footer="0.3"/>
  <pageSetup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  <pageSetUpPr fitToPage="1"/>
  </sheetPr>
  <dimension ref="A1:F20"/>
  <sheetViews>
    <sheetView workbookViewId="0">
      <selection activeCell="F3" sqref="F3"/>
    </sheetView>
  </sheetViews>
  <sheetFormatPr defaultRowHeight="15" x14ac:dyDescent="0.25"/>
  <cols>
    <col min="1" max="1" width="9" customWidth="1"/>
    <col min="2" max="2" width="11.5703125" bestFit="1" customWidth="1"/>
    <col min="3" max="3" width="10" bestFit="1" customWidth="1"/>
    <col min="4" max="4" width="12.42578125" bestFit="1" customWidth="1"/>
    <col min="6" max="6" width="11.5703125" bestFit="1" customWidth="1"/>
  </cols>
  <sheetData>
    <row r="1" spans="1:6" ht="18.75" x14ac:dyDescent="0.3">
      <c r="A1" s="67" t="s">
        <v>30</v>
      </c>
    </row>
    <row r="3" spans="1:6" x14ac:dyDescent="0.25">
      <c r="A3" s="5" t="s">
        <v>33</v>
      </c>
      <c r="F3" s="2">
        <f>'Bottom Prep and Capital Cost'!E28</f>
        <v>67700</v>
      </c>
    </row>
    <row r="4" spans="1:6" x14ac:dyDescent="0.25">
      <c r="A4" s="5" t="s">
        <v>34</v>
      </c>
      <c r="C4">
        <f>Assumptions!B8</f>
        <v>3</v>
      </c>
    </row>
    <row r="6" spans="1:6" x14ac:dyDescent="0.25">
      <c r="A6" s="5" t="s">
        <v>31</v>
      </c>
      <c r="B6" s="5" t="s">
        <v>14</v>
      </c>
      <c r="C6" s="5" t="s">
        <v>32</v>
      </c>
      <c r="D6" s="5" t="s">
        <v>35</v>
      </c>
    </row>
    <row r="7" spans="1:6" x14ac:dyDescent="0.25">
      <c r="A7">
        <v>0</v>
      </c>
      <c r="B7" s="2">
        <f>IF(E7=TRUE,'Yearly Enterprise Budget'!$F$11,0)</f>
        <v>0</v>
      </c>
      <c r="C7" s="3">
        <f>F3</f>
        <v>67700</v>
      </c>
      <c r="D7" s="3">
        <f>-C7</f>
        <v>-67700</v>
      </c>
      <c r="E7" t="b">
        <f>OR(A7=$C$4,A7&gt;$C$4)</f>
        <v>0</v>
      </c>
    </row>
    <row r="8" spans="1:6" x14ac:dyDescent="0.25">
      <c r="A8">
        <v>1</v>
      </c>
      <c r="B8" s="2">
        <f>IF(E8=TRUE,'Yearly Enterprise Budget'!$F$11,0)</f>
        <v>0</v>
      </c>
      <c r="C8" s="3">
        <f>'Yearly Enterprise Budget'!$F$41</f>
        <v>65858.121333333329</v>
      </c>
      <c r="D8" s="3">
        <f>D7+B8-C8</f>
        <v>-133558.12133333331</v>
      </c>
      <c r="E8" t="b">
        <f t="shared" ref="E8:E17" si="0">OR(A8=$C$4,A8&gt;$C$4)</f>
        <v>0</v>
      </c>
    </row>
    <row r="9" spans="1:6" x14ac:dyDescent="0.25">
      <c r="A9">
        <v>2</v>
      </c>
      <c r="B9" s="2">
        <f>IF(E9=TRUE,'Yearly Enterprise Budget'!$F$11,0)</f>
        <v>0</v>
      </c>
      <c r="C9" s="3">
        <f>'Yearly Enterprise Budget'!$F$41</f>
        <v>65858.121333333329</v>
      </c>
      <c r="D9" s="3">
        <f>D8+B9-C9</f>
        <v>-199416.24266666663</v>
      </c>
      <c r="E9" t="b">
        <f t="shared" si="0"/>
        <v>0</v>
      </c>
    </row>
    <row r="10" spans="1:6" x14ac:dyDescent="0.25">
      <c r="A10">
        <v>3</v>
      </c>
      <c r="B10" s="2">
        <f>IF(E10=TRUE,'Yearly Enterprise Budget'!$F$11,0)</f>
        <v>287500</v>
      </c>
      <c r="C10" s="3">
        <f>'Yearly Enterprise Budget'!$F$41</f>
        <v>65858.121333333329</v>
      </c>
      <c r="D10" s="3">
        <f t="shared" ref="D10:D17" si="1">D9+B10-C10</f>
        <v>22225.636000000042</v>
      </c>
      <c r="E10" t="b">
        <f t="shared" si="0"/>
        <v>1</v>
      </c>
    </row>
    <row r="11" spans="1:6" x14ac:dyDescent="0.25">
      <c r="A11">
        <v>4</v>
      </c>
      <c r="B11" s="2">
        <f>IF(E11=TRUE,'Yearly Enterprise Budget'!$F$11,0)</f>
        <v>287500</v>
      </c>
      <c r="C11" s="3">
        <f>'Yearly Enterprise Budget'!$F$41</f>
        <v>65858.121333333329</v>
      </c>
      <c r="D11" s="3">
        <f t="shared" si="1"/>
        <v>243867.51466666674</v>
      </c>
      <c r="E11" t="b">
        <f t="shared" si="0"/>
        <v>1</v>
      </c>
    </row>
    <row r="12" spans="1:6" x14ac:dyDescent="0.25">
      <c r="A12">
        <v>5</v>
      </c>
      <c r="B12" s="2">
        <f>IF(E12=TRUE,'Yearly Enterprise Budget'!$F$11,0)</f>
        <v>287500</v>
      </c>
      <c r="C12" s="3">
        <f>'Yearly Enterprise Budget'!$F$41</f>
        <v>65858.121333333329</v>
      </c>
      <c r="D12" s="3">
        <f t="shared" si="1"/>
        <v>465509.39333333343</v>
      </c>
      <c r="E12" t="b">
        <f t="shared" si="0"/>
        <v>1</v>
      </c>
    </row>
    <row r="13" spans="1:6" x14ac:dyDescent="0.25">
      <c r="A13">
        <v>6</v>
      </c>
      <c r="B13" s="2">
        <f>IF(E13=TRUE,'Yearly Enterprise Budget'!$F$11,0)</f>
        <v>287500</v>
      </c>
      <c r="C13" s="3">
        <f>'Yearly Enterprise Budget'!$F$41</f>
        <v>65858.121333333329</v>
      </c>
      <c r="D13" s="3">
        <f t="shared" si="1"/>
        <v>687151.27200000011</v>
      </c>
      <c r="E13" t="b">
        <f t="shared" si="0"/>
        <v>1</v>
      </c>
    </row>
    <row r="14" spans="1:6" x14ac:dyDescent="0.25">
      <c r="A14">
        <v>7</v>
      </c>
      <c r="B14" s="2">
        <f>IF(E14=TRUE,'Yearly Enterprise Budget'!$F$11,0)</f>
        <v>287500</v>
      </c>
      <c r="C14" s="3">
        <f>'Yearly Enterprise Budget'!$F$41</f>
        <v>65858.121333333329</v>
      </c>
      <c r="D14" s="3">
        <f t="shared" si="1"/>
        <v>908793.1506666668</v>
      </c>
      <c r="E14" t="b">
        <f t="shared" si="0"/>
        <v>1</v>
      </c>
    </row>
    <row r="15" spans="1:6" x14ac:dyDescent="0.25">
      <c r="A15">
        <v>8</v>
      </c>
      <c r="B15" s="2">
        <f>IF(E15=TRUE,'Yearly Enterprise Budget'!$F$11,0)</f>
        <v>287500</v>
      </c>
      <c r="C15" s="3">
        <f>'Yearly Enterprise Budget'!$F$41</f>
        <v>65858.121333333329</v>
      </c>
      <c r="D15" s="3">
        <f t="shared" si="1"/>
        <v>1130435.0293333333</v>
      </c>
      <c r="E15" t="b">
        <f t="shared" si="0"/>
        <v>1</v>
      </c>
    </row>
    <row r="16" spans="1:6" x14ac:dyDescent="0.25">
      <c r="A16">
        <v>9</v>
      </c>
      <c r="B16" s="2">
        <f>IF(E16=TRUE,'Yearly Enterprise Budget'!$F$11,0)</f>
        <v>287500</v>
      </c>
      <c r="C16" s="3">
        <f>'Yearly Enterprise Budget'!$F$41</f>
        <v>65858.121333333329</v>
      </c>
      <c r="D16" s="3">
        <f t="shared" si="1"/>
        <v>1352076.9079999998</v>
      </c>
      <c r="E16" t="b">
        <f t="shared" si="0"/>
        <v>1</v>
      </c>
    </row>
    <row r="17" spans="1:5" x14ac:dyDescent="0.25">
      <c r="A17">
        <v>10</v>
      </c>
      <c r="B17" s="2">
        <f>IF(E17=TRUE,'Yearly Enterprise Budget'!$F$11,0)</f>
        <v>287500</v>
      </c>
      <c r="C17" s="3">
        <f>'Yearly Enterprise Budget'!$F$41</f>
        <v>65858.121333333329</v>
      </c>
      <c r="D17" s="3">
        <f t="shared" si="1"/>
        <v>1573718.7866666664</v>
      </c>
      <c r="E17" t="b">
        <f t="shared" si="0"/>
        <v>1</v>
      </c>
    </row>
    <row r="20" spans="1:5" x14ac:dyDescent="0.25">
      <c r="A20" s="5" t="s">
        <v>36</v>
      </c>
      <c r="B20" s="5"/>
      <c r="C20" s="5"/>
      <c r="D20" s="71">
        <f>IRR(D7:D17)</f>
        <v>0.59071362214664203</v>
      </c>
    </row>
  </sheetData>
  <printOptions headings="1" gridLines="1"/>
  <pageMargins left="0.7" right="0.7" top="0.75" bottom="0.75" header="0.3" footer="0.3"/>
  <pageSetup scale="86" orientation="landscape" verticalDpi="2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0000"/>
    <pageSetUpPr fitToPage="1"/>
  </sheetPr>
  <dimension ref="A1:L22"/>
  <sheetViews>
    <sheetView workbookViewId="0">
      <selection activeCell="A11" sqref="A11:A20"/>
    </sheetView>
  </sheetViews>
  <sheetFormatPr defaultRowHeight="15" x14ac:dyDescent="0.25"/>
  <cols>
    <col min="2" max="2" width="15.140625" customWidth="1"/>
    <col min="3" max="3" width="14.85546875" customWidth="1"/>
    <col min="4" max="4" width="10.85546875" bestFit="1" customWidth="1"/>
    <col min="5" max="5" width="11.42578125" customWidth="1"/>
    <col min="6" max="7" width="10" bestFit="1" customWidth="1"/>
  </cols>
  <sheetData>
    <row r="1" spans="1:12" x14ac:dyDescent="0.2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x14ac:dyDescent="0.25">
      <c r="B2" s="155" t="s">
        <v>130</v>
      </c>
      <c r="C2" s="156"/>
      <c r="D2" s="156"/>
      <c r="E2" s="156"/>
      <c r="F2" s="157"/>
      <c r="G2" s="30"/>
      <c r="H2" s="30"/>
      <c r="I2" s="30"/>
      <c r="J2" s="30"/>
      <c r="K2" s="30"/>
      <c r="L2" s="30"/>
    </row>
    <row r="3" spans="1:12" s="68" customFormat="1" ht="60" x14ac:dyDescent="0.25">
      <c r="B3" s="72"/>
      <c r="C3" s="73" t="s">
        <v>55</v>
      </c>
      <c r="D3" s="73" t="s">
        <v>131</v>
      </c>
      <c r="E3" s="73" t="s">
        <v>132</v>
      </c>
      <c r="F3" s="74" t="s">
        <v>130</v>
      </c>
      <c r="G3" s="73"/>
      <c r="H3" s="73"/>
      <c r="I3" s="73"/>
      <c r="J3" s="73"/>
      <c r="K3" s="73"/>
      <c r="L3" s="73"/>
    </row>
    <row r="4" spans="1:12" ht="15" customHeight="1" x14ac:dyDescent="0.25">
      <c r="A4" s="29"/>
      <c r="B4" s="79" t="s">
        <v>54</v>
      </c>
      <c r="C4" s="37">
        <f>'Yearly Enterprise Budget'!C8/Assumptions!B5</f>
        <v>1250</v>
      </c>
      <c r="D4" s="38">
        <f>'Yearly Enterprise Budget'!E8*Assumptions!B5</f>
        <v>110</v>
      </c>
      <c r="E4" s="39">
        <f>C4/($C$4+$C$5)</f>
        <v>0.25</v>
      </c>
      <c r="F4" s="153">
        <f>(D4*E4)+(D5*E5)</f>
        <v>57.5</v>
      </c>
      <c r="G4" s="23"/>
      <c r="H4" s="23"/>
      <c r="I4" s="23"/>
      <c r="J4" s="23"/>
      <c r="K4" s="23"/>
      <c r="L4" s="23"/>
    </row>
    <row r="5" spans="1:12" x14ac:dyDescent="0.25">
      <c r="A5" s="29"/>
      <c r="B5" s="80" t="s">
        <v>53</v>
      </c>
      <c r="C5" s="34">
        <f>'Yearly Enterprise Budget'!C9</f>
        <v>3750</v>
      </c>
      <c r="D5" s="35">
        <f>'Yearly Enterprise Budget'!E9</f>
        <v>40</v>
      </c>
      <c r="E5" s="36">
        <f>C5/($C$4+$C$5)</f>
        <v>0.75</v>
      </c>
      <c r="F5" s="154"/>
      <c r="G5" s="23"/>
      <c r="H5" s="23"/>
      <c r="I5" s="23"/>
      <c r="J5" s="23"/>
      <c r="K5" s="23"/>
      <c r="L5" s="23"/>
    </row>
    <row r="6" spans="1:12" x14ac:dyDescent="0.25">
      <c r="A6" s="29"/>
      <c r="B6" s="80" t="s">
        <v>59</v>
      </c>
      <c r="C6" s="81">
        <f>SUM(C4:C5)</f>
        <v>5000</v>
      </c>
      <c r="D6" s="40"/>
      <c r="E6" s="40"/>
      <c r="F6" s="41"/>
      <c r="G6" s="23"/>
      <c r="H6" s="23"/>
      <c r="I6" s="23"/>
      <c r="J6" s="23"/>
      <c r="K6" s="23"/>
      <c r="L6" s="23"/>
    </row>
    <row r="7" spans="1:12" x14ac:dyDescent="0.25">
      <c r="A7" s="29"/>
      <c r="B7" s="31"/>
      <c r="C7" s="33"/>
      <c r="D7" s="32"/>
      <c r="E7" s="32"/>
      <c r="F7" s="32"/>
      <c r="G7" s="23"/>
      <c r="H7" s="23"/>
      <c r="I7" s="23"/>
      <c r="J7" s="23"/>
      <c r="K7" s="23"/>
      <c r="L7" s="23"/>
    </row>
    <row r="8" spans="1:12" ht="15.75" x14ac:dyDescent="0.25">
      <c r="A8" s="29"/>
      <c r="B8" s="158" t="s">
        <v>63</v>
      </c>
      <c r="C8" s="158"/>
      <c r="D8" s="158"/>
      <c r="E8" s="158"/>
      <c r="F8" s="158"/>
      <c r="G8" s="158"/>
      <c r="H8" s="23"/>
      <c r="I8" s="23"/>
      <c r="J8" s="23"/>
      <c r="K8" s="23"/>
      <c r="L8" s="23"/>
    </row>
    <row r="9" spans="1:12" ht="15.75" thickBot="1" x14ac:dyDescent="0.3">
      <c r="A9" s="29"/>
      <c r="B9" s="31"/>
      <c r="C9" s="31"/>
      <c r="D9" s="32"/>
      <c r="E9" s="32"/>
      <c r="F9" s="32"/>
      <c r="G9" s="23"/>
      <c r="H9" s="23"/>
      <c r="I9" s="23"/>
      <c r="J9" s="23"/>
      <c r="K9" s="23"/>
      <c r="L9" s="23"/>
    </row>
    <row r="10" spans="1:12" x14ac:dyDescent="0.25">
      <c r="A10" s="51"/>
      <c r="B10" s="164"/>
      <c r="C10" s="159" t="s">
        <v>133</v>
      </c>
      <c r="D10" s="160"/>
      <c r="E10" s="160"/>
      <c r="F10" s="160"/>
      <c r="G10" s="161"/>
      <c r="H10" s="23"/>
      <c r="I10" s="23"/>
      <c r="J10" s="23"/>
      <c r="K10" s="23"/>
      <c r="L10" s="23"/>
    </row>
    <row r="11" spans="1:12" x14ac:dyDescent="0.25">
      <c r="A11" s="162" t="s">
        <v>130</v>
      </c>
      <c r="B11" s="165"/>
      <c r="C11" s="75">
        <f>D11-1000</f>
        <v>3000</v>
      </c>
      <c r="D11" s="75">
        <f>E11-1000</f>
        <v>4000</v>
      </c>
      <c r="E11" s="75">
        <f>C6</f>
        <v>5000</v>
      </c>
      <c r="F11" s="75">
        <f>E11+1000</f>
        <v>6000</v>
      </c>
      <c r="G11" s="76">
        <f>F11+1000</f>
        <v>7000</v>
      </c>
      <c r="H11" s="23"/>
      <c r="I11" s="23"/>
      <c r="J11" s="23"/>
      <c r="K11" s="23"/>
      <c r="L11" s="23"/>
    </row>
    <row r="12" spans="1:12" x14ac:dyDescent="0.25">
      <c r="A12" s="162"/>
      <c r="B12" s="77">
        <f t="shared" ref="B12:B14" si="0">B13-5</f>
        <v>37.5</v>
      </c>
      <c r="C12" s="43">
        <f>(B12*$C$11)-'Yearly Enterprise Budget'!$F$41</f>
        <v>46641.878666666671</v>
      </c>
      <c r="D12" s="43">
        <f>(B12*$D$11)-'Yearly Enterprise Budget'!$F$41</f>
        <v>84141.878666666671</v>
      </c>
      <c r="E12" s="43">
        <f>(B12*$E$11)-'Yearly Enterprise Budget'!$F$41</f>
        <v>121641.87866666667</v>
      </c>
      <c r="F12" s="43">
        <f>(B12*$F$11)-'Yearly Enterprise Budget'!$F$41</f>
        <v>159141.87866666669</v>
      </c>
      <c r="G12" s="44">
        <f>(B12*$G$11)-'Yearly Enterprise Budget'!$F$41</f>
        <v>196641.87866666669</v>
      </c>
      <c r="H12" s="23"/>
      <c r="I12" s="23"/>
      <c r="J12" s="23"/>
      <c r="K12" s="23"/>
      <c r="L12" s="23"/>
    </row>
    <row r="13" spans="1:12" x14ac:dyDescent="0.25">
      <c r="A13" s="162"/>
      <c r="B13" s="77">
        <f t="shared" si="0"/>
        <v>42.5</v>
      </c>
      <c r="C13" s="43">
        <f>(B13*$C$11)-'Yearly Enterprise Budget'!$F$41</f>
        <v>61641.878666666671</v>
      </c>
      <c r="D13" s="43">
        <f>(B13*$D$11)-'Yearly Enterprise Budget'!$F$41</f>
        <v>104141.87866666667</v>
      </c>
      <c r="E13" s="43">
        <f>(B13*$E$11)-'Yearly Enterprise Budget'!$F$41</f>
        <v>146641.87866666669</v>
      </c>
      <c r="F13" s="43">
        <f>(B13*$F$11)-'Yearly Enterprise Budget'!$F$41</f>
        <v>189141.87866666669</v>
      </c>
      <c r="G13" s="44">
        <f>(B13*$G$11)-'Yearly Enterprise Budget'!$F$41</f>
        <v>231641.87866666669</v>
      </c>
      <c r="H13" s="23"/>
      <c r="I13" s="23"/>
      <c r="J13" s="23"/>
      <c r="K13" s="23"/>
      <c r="L13" s="23"/>
    </row>
    <row r="14" spans="1:12" x14ac:dyDescent="0.25">
      <c r="A14" s="162"/>
      <c r="B14" s="77">
        <f t="shared" si="0"/>
        <v>47.5</v>
      </c>
      <c r="C14" s="43">
        <f>(B14*$C$11)-'Yearly Enterprise Budget'!$F$41</f>
        <v>76641.878666666671</v>
      </c>
      <c r="D14" s="43">
        <f>(B14*$D$11)-'Yearly Enterprise Budget'!$F$41</f>
        <v>124141.87866666667</v>
      </c>
      <c r="E14" s="43">
        <f>(B14*$E$11)-'Yearly Enterprise Budget'!$F$41</f>
        <v>171641.87866666669</v>
      </c>
      <c r="F14" s="43">
        <f>(B14*$F$11)-'Yearly Enterprise Budget'!$F$41</f>
        <v>219141.87866666669</v>
      </c>
      <c r="G14" s="44">
        <f>(B14*$G$11)-'Yearly Enterprise Budget'!$F$41</f>
        <v>266641.87866666669</v>
      </c>
      <c r="H14" s="23"/>
      <c r="I14" s="23"/>
      <c r="J14" s="23"/>
      <c r="K14" s="23"/>
      <c r="L14" s="23"/>
    </row>
    <row r="15" spans="1:12" ht="15.75" thickBot="1" x14ac:dyDescent="0.3">
      <c r="A15" s="162"/>
      <c r="B15" s="77">
        <f>B16-5</f>
        <v>52.5</v>
      </c>
      <c r="C15" s="43">
        <f>(B15*$C$11)-'Yearly Enterprise Budget'!$F$41</f>
        <v>91641.878666666671</v>
      </c>
      <c r="D15" s="43">
        <f>(B15*$D$11)-'Yearly Enterprise Budget'!$F$41</f>
        <v>144141.87866666669</v>
      </c>
      <c r="E15" s="49">
        <f>(B15*$E$11)-'Yearly Enterprise Budget'!$F$41</f>
        <v>196641.87866666669</v>
      </c>
      <c r="F15" s="43">
        <f>(B15*$F$11)-'Yearly Enterprise Budget'!$F$41</f>
        <v>249141.87866666669</v>
      </c>
      <c r="G15" s="44">
        <f>(B15*$G$11)-'Yearly Enterprise Budget'!$F$41</f>
        <v>301641.87866666669</v>
      </c>
      <c r="H15" s="23"/>
      <c r="I15" s="23"/>
      <c r="J15" s="23"/>
      <c r="K15" s="23"/>
      <c r="L15" s="23"/>
    </row>
    <row r="16" spans="1:12" ht="15.75" thickBot="1" x14ac:dyDescent="0.3">
      <c r="A16" s="162"/>
      <c r="B16" s="77">
        <f>F4</f>
        <v>57.5</v>
      </c>
      <c r="C16" s="43">
        <f>(B16*$C$11)-'Yearly Enterprise Budget'!$F$41</f>
        <v>106641.87866666667</v>
      </c>
      <c r="D16" s="47">
        <f>(B16*$D$11)-'Yearly Enterprise Budget'!$F$41</f>
        <v>164141.87866666669</v>
      </c>
      <c r="E16" s="42">
        <f>(E11*B16)-'Yearly Enterprise Budget'!F41</f>
        <v>221641.87866666669</v>
      </c>
      <c r="F16" s="48">
        <f>(B16*$F$11)-'Yearly Enterprise Budget'!$F$41</f>
        <v>279141.87866666669</v>
      </c>
      <c r="G16" s="44">
        <f>(B16*$G$11)-'Yearly Enterprise Budget'!$F$41</f>
        <v>336641.87866666669</v>
      </c>
      <c r="H16" s="23"/>
      <c r="I16" s="23"/>
      <c r="J16" s="23"/>
      <c r="K16" s="23"/>
      <c r="L16" s="23"/>
    </row>
    <row r="17" spans="1:7" x14ac:dyDescent="0.25">
      <c r="A17" s="162"/>
      <c r="B17" s="77">
        <f>B16+5</f>
        <v>62.5</v>
      </c>
      <c r="C17" s="43">
        <f>(B17*$C$11)-'Yearly Enterprise Budget'!$F$41</f>
        <v>121641.87866666667</v>
      </c>
      <c r="D17" s="43">
        <f>(B17*$D$11)-'Yearly Enterprise Budget'!$F$41</f>
        <v>184141.87866666669</v>
      </c>
      <c r="E17" s="50">
        <f>(B17*$E$11)-'Yearly Enterprise Budget'!$F$41</f>
        <v>246641.87866666669</v>
      </c>
      <c r="F17" s="43">
        <f>(B17*$F$11)-'Yearly Enterprise Budget'!$F$41</f>
        <v>309141.87866666669</v>
      </c>
      <c r="G17" s="44">
        <f>(B17*$G$11)-'Yearly Enterprise Budget'!$F$41</f>
        <v>371641.87866666669</v>
      </c>
    </row>
    <row r="18" spans="1:7" x14ac:dyDescent="0.25">
      <c r="A18" s="162"/>
      <c r="B18" s="77">
        <f t="shared" ref="B18:B20" si="1">B17+5</f>
        <v>67.5</v>
      </c>
      <c r="C18" s="43">
        <f>(B18*$C$11)-'Yearly Enterprise Budget'!$F$41</f>
        <v>136641.87866666669</v>
      </c>
      <c r="D18" s="43">
        <f>(B18*$D$11)-'Yearly Enterprise Budget'!$F$41</f>
        <v>204141.87866666669</v>
      </c>
      <c r="E18" s="43">
        <f>(B18*$E$11)-'Yearly Enterprise Budget'!$F$41</f>
        <v>271641.87866666669</v>
      </c>
      <c r="F18" s="43">
        <f>(B18*$F$11)-'Yearly Enterprise Budget'!$F$41</f>
        <v>339141.87866666669</v>
      </c>
      <c r="G18" s="44">
        <f>(B18*$G$11)-'Yearly Enterprise Budget'!$F$41</f>
        <v>406641.87866666669</v>
      </c>
    </row>
    <row r="19" spans="1:7" x14ac:dyDescent="0.25">
      <c r="A19" s="162"/>
      <c r="B19" s="77">
        <f t="shared" si="1"/>
        <v>72.5</v>
      </c>
      <c r="C19" s="43">
        <f>(B19*$C$11)-'Yearly Enterprise Budget'!$F$41</f>
        <v>151641.87866666669</v>
      </c>
      <c r="D19" s="43">
        <f>(B19*$D$11)-'Yearly Enterprise Budget'!$F$41</f>
        <v>224141.87866666669</v>
      </c>
      <c r="E19" s="43">
        <f>(B19*$E$11)-'Yearly Enterprise Budget'!$F$41</f>
        <v>296641.87866666669</v>
      </c>
      <c r="F19" s="43">
        <f>(B19*$F$11)-'Yearly Enterprise Budget'!$F$41</f>
        <v>369141.87866666669</v>
      </c>
      <c r="G19" s="44">
        <f>(B19*$G$11)-'Yearly Enterprise Budget'!$F$41</f>
        <v>441641.87866666669</v>
      </c>
    </row>
    <row r="20" spans="1:7" ht="15.75" thickBot="1" x14ac:dyDescent="0.3">
      <c r="A20" s="163"/>
      <c r="B20" s="78">
        <f t="shared" si="1"/>
        <v>77.5</v>
      </c>
      <c r="C20" s="45">
        <f>(B20*$C$11)-'Yearly Enterprise Budget'!$F$41</f>
        <v>166641.87866666669</v>
      </c>
      <c r="D20" s="45">
        <f>(B20*$D$11)-'Yearly Enterprise Budget'!$F$41</f>
        <v>244141.87866666669</v>
      </c>
      <c r="E20" s="45">
        <f>(B20*$E$11)-'Yearly Enterprise Budget'!$F$41</f>
        <v>321641.87866666669</v>
      </c>
      <c r="F20" s="45">
        <f>(B20*$F$11)-'Yearly Enterprise Budget'!$F$41</f>
        <v>399141.87866666669</v>
      </c>
      <c r="G20" s="46">
        <f>(B20*$G$11)-'Yearly Enterprise Budget'!$F$41</f>
        <v>476641.87866666669</v>
      </c>
    </row>
    <row r="22" spans="1:7" x14ac:dyDescent="0.25">
      <c r="A22" s="6" t="s">
        <v>57</v>
      </c>
    </row>
  </sheetData>
  <mergeCells count="6">
    <mergeCell ref="F4:F5"/>
    <mergeCell ref="B2:F2"/>
    <mergeCell ref="B8:G8"/>
    <mergeCell ref="C10:G10"/>
    <mergeCell ref="A11:A20"/>
    <mergeCell ref="B10:B11"/>
  </mergeCells>
  <printOptions headings="1" gridLines="1"/>
  <pageMargins left="0.7" right="0.7" top="0.75" bottom="0.75" header="0.3" footer="0.3"/>
  <pageSetup orientation="landscape" verticalDpi="2" r:id="rId1"/>
  <ignoredErrors>
    <ignoredError sqref="E1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Assumptions</vt:lpstr>
      <vt:lpstr>Bottom Prep and Capital Cost</vt:lpstr>
      <vt:lpstr>Yearly Enterprise Budget</vt:lpstr>
      <vt:lpstr>Yearly Cash Flow Analysis</vt:lpstr>
      <vt:lpstr>Sensitivity Analysis</vt:lpstr>
      <vt:lpstr>'Yearly Enterprise Budget'!Print_Area</vt:lpstr>
    </vt:vector>
  </TitlesOfParts>
  <Company>AGNR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IET</dc:creator>
  <cp:lastModifiedBy>Matt Parker</cp:lastModifiedBy>
  <cp:lastPrinted>2012-11-28T14:44:04Z</cp:lastPrinted>
  <dcterms:created xsi:type="dcterms:W3CDTF">2011-05-19T12:50:34Z</dcterms:created>
  <dcterms:modified xsi:type="dcterms:W3CDTF">2015-11-20T16:01:18Z</dcterms:modified>
</cp:coreProperties>
</file>